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601"/>
  <workbookPr/>
  <mc:AlternateContent xmlns:mc="http://schemas.openxmlformats.org/markup-compatibility/2006">
    <mc:Choice Requires="x15">
      <x15ac:absPath xmlns:x15ac="http://schemas.microsoft.com/office/spreadsheetml/2010/11/ac" url="C:\Users\17817\Desktop\Exp Comp\"/>
    </mc:Choice>
  </mc:AlternateContent>
  <xr:revisionPtr revIDLastSave="0" documentId="13_ncr:1_{A6ED46C9-90FE-4743-97E9-235C59B50F15}" xr6:coauthVersionLast="47" xr6:coauthVersionMax="47" xr10:uidLastSave="{00000000-0000-0000-0000-000000000000}"/>
  <bookViews>
    <workbookView xWindow="-108" yWindow="-108" windowWidth="23256" windowHeight="12456" activeTab="2" xr2:uid="{00000000-000D-0000-FFFF-FFFF00000000}"/>
  </bookViews>
  <sheets>
    <sheet name="Development Cost" sheetId="1" r:id="rId1"/>
    <sheet name="Future Costs" sheetId="2" r:id="rId2"/>
    <sheet name="Revenue Streams" sheetId="3" r:id="rId3"/>
    <sheet name="Strategy" sheetId="5" r:id="rId4"/>
    <sheet name="Five-year Analysis" sheetId="4" r:id="rId5"/>
    <sheet name="Financial Statements" sheetId="6" r:id="rId6"/>
  </sheets>
  <externalReferences>
    <externalReference r:id="rId7"/>
  </externalReferenc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D69" i="6" l="1"/>
  <c r="B37" i="6"/>
  <c r="D12" i="6"/>
  <c r="C13" i="6"/>
  <c r="C12" i="6"/>
  <c r="B56" i="6"/>
  <c r="B93" i="6" s="1"/>
  <c r="D41" i="6"/>
  <c r="E41" i="6"/>
  <c r="F41" i="6"/>
  <c r="G41" i="6"/>
  <c r="D40" i="6"/>
  <c r="D71" i="6" s="1"/>
  <c r="E40" i="6"/>
  <c r="E71" i="6" s="1"/>
  <c r="F40" i="6"/>
  <c r="G40" i="6"/>
  <c r="C40" i="6"/>
  <c r="C41" i="6"/>
  <c r="D18" i="6"/>
  <c r="E18" i="6"/>
  <c r="F18" i="6"/>
  <c r="G18" i="6"/>
  <c r="C18" i="6"/>
  <c r="F24" i="3"/>
  <c r="G24" i="3"/>
  <c r="H24" i="3"/>
  <c r="I24" i="3"/>
  <c r="E24" i="3"/>
  <c r="F23" i="3"/>
  <c r="G23" i="3"/>
  <c r="H23" i="3"/>
  <c r="I23" i="3"/>
  <c r="E23" i="3"/>
  <c r="F21" i="3"/>
  <c r="G21" i="3"/>
  <c r="H21" i="3"/>
  <c r="I21" i="3"/>
  <c r="D21" i="3"/>
  <c r="E21" i="3"/>
  <c r="G13" i="3"/>
  <c r="C14" i="6"/>
  <c r="I17" i="2"/>
  <c r="J24" i="2"/>
  <c r="J23" i="2"/>
  <c r="B105" i="6"/>
  <c r="D105" i="6"/>
  <c r="E105" i="6"/>
  <c r="F105" i="6"/>
  <c r="G105" i="6"/>
  <c r="C105" i="6"/>
  <c r="B36" i="6"/>
  <c r="C62" i="6"/>
  <c r="C17" i="6" s="1"/>
  <c r="C61" i="6"/>
  <c r="C103" i="6" s="1"/>
  <c r="B95" i="6"/>
  <c r="B94" i="6"/>
  <c r="C106" i="6"/>
  <c r="B106" i="6"/>
  <c r="B103" i="6"/>
  <c r="C95" i="6"/>
  <c r="B97" i="6"/>
  <c r="B90" i="6"/>
  <c r="B71" i="6"/>
  <c r="B63" i="6"/>
  <c r="B35" i="6"/>
  <c r="L26" i="1"/>
  <c r="L27" i="1" s="1"/>
  <c r="B15" i="6"/>
  <c r="B14" i="6"/>
  <c r="D13" i="6"/>
  <c r="E13" i="6" s="1"/>
  <c r="F13" i="6" s="1"/>
  <c r="G104" i="6"/>
  <c r="F104" i="6"/>
  <c r="G95" i="6"/>
  <c r="F95" i="6"/>
  <c r="E95" i="6"/>
  <c r="D95" i="6"/>
  <c r="F69" i="6"/>
  <c r="E69" i="6"/>
  <c r="A6" i="6"/>
  <c r="B38" i="6" l="1"/>
  <c r="G71" i="6"/>
  <c r="G97" i="6" s="1"/>
  <c r="F71" i="6"/>
  <c r="F97" i="6" s="1"/>
  <c r="C71" i="6"/>
  <c r="C97" i="6" s="1"/>
  <c r="B34" i="6"/>
  <c r="B33" i="6"/>
  <c r="B70" i="6" s="1"/>
  <c r="B96" i="6" s="1"/>
  <c r="E106" i="6"/>
  <c r="D14" i="6"/>
  <c r="D61" i="6"/>
  <c r="D103" i="6" s="1"/>
  <c r="C90" i="6"/>
  <c r="D16" i="6"/>
  <c r="E16" i="6" s="1"/>
  <c r="F16" i="6" s="1"/>
  <c r="B108" i="6"/>
  <c r="C108" i="6"/>
  <c r="C63" i="6"/>
  <c r="G13" i="6"/>
  <c r="E97" i="6"/>
  <c r="D106" i="6"/>
  <c r="F106" i="6"/>
  <c r="G106" i="6"/>
  <c r="D97" i="6" l="1"/>
  <c r="B43" i="6"/>
  <c r="B46" i="6" s="1"/>
  <c r="B48" i="6" s="1"/>
  <c r="B72" i="6" s="1"/>
  <c r="B98" i="6" s="1"/>
  <c r="D108" i="6"/>
  <c r="D17" i="6"/>
  <c r="E61" i="6"/>
  <c r="D62" i="6"/>
  <c r="D90" i="6" s="1"/>
  <c r="G16" i="6"/>
  <c r="B73" i="6" l="1"/>
  <c r="B50" i="6"/>
  <c r="B81" i="6" s="1"/>
  <c r="D63" i="6"/>
  <c r="E62" i="6"/>
  <c r="E90" i="6" s="1"/>
  <c r="F14" i="6"/>
  <c r="F61" i="6"/>
  <c r="E17" i="6"/>
  <c r="E36" i="6" s="1"/>
  <c r="E103" i="6"/>
  <c r="E108" i="6" s="1"/>
  <c r="I13" i="2"/>
  <c r="E8" i="2"/>
  <c r="E7" i="2"/>
  <c r="E9" i="4" s="1"/>
  <c r="E5" i="2"/>
  <c r="F8" i="4" s="1"/>
  <c r="H13" i="2"/>
  <c r="H17" i="2"/>
  <c r="M5" i="2"/>
  <c r="E14" i="4" s="1"/>
  <c r="E10" i="4"/>
  <c r="D7" i="4"/>
  <c r="D25" i="4" s="1"/>
  <c r="D31" i="4" s="1"/>
  <c r="D32" i="4" s="1"/>
  <c r="G12" i="3"/>
  <c r="G7" i="3"/>
  <c r="G8" i="3"/>
  <c r="G9" i="3"/>
  <c r="G10" i="3"/>
  <c r="G11" i="3"/>
  <c r="G6" i="3"/>
  <c r="E17" i="2"/>
  <c r="E13" i="2"/>
  <c r="E10" i="2"/>
  <c r="E11" i="2"/>
  <c r="E9" i="2"/>
  <c r="L16" i="1"/>
  <c r="L10" i="1"/>
  <c r="L4" i="1"/>
  <c r="B82" i="6" l="1"/>
  <c r="B84" i="6"/>
  <c r="B65" i="6" s="1"/>
  <c r="B59" i="6" s="1"/>
  <c r="B89" i="6"/>
  <c r="B91" i="6" s="1"/>
  <c r="B100" i="6" s="1"/>
  <c r="B110" i="6" s="1"/>
  <c r="B113" i="6" s="1"/>
  <c r="E63" i="6"/>
  <c r="H8" i="4"/>
  <c r="F10" i="4"/>
  <c r="H10" i="4" s="1"/>
  <c r="I10" i="4" s="1"/>
  <c r="C36" i="6"/>
  <c r="G14" i="6"/>
  <c r="F17" i="6"/>
  <c r="G61" i="6"/>
  <c r="F103" i="6"/>
  <c r="F108" i="6" s="1"/>
  <c r="F62" i="6"/>
  <c r="F63" i="6" s="1"/>
  <c r="G15" i="3"/>
  <c r="L23" i="1"/>
  <c r="B55" i="6" l="1"/>
  <c r="C112" i="6" s="1"/>
  <c r="G16" i="3"/>
  <c r="D36" i="6"/>
  <c r="I8" i="4"/>
  <c r="F36" i="6"/>
  <c r="G17" i="6"/>
  <c r="G103" i="6"/>
  <c r="G108" i="6" s="1"/>
  <c r="G62" i="6"/>
  <c r="G90" i="6" s="1"/>
  <c r="F90" i="6"/>
  <c r="E28" i="4" l="1"/>
  <c r="E29" i="4" s="1"/>
  <c r="D20" i="3"/>
  <c r="E20" i="3" s="1"/>
  <c r="F20" i="3" s="1"/>
  <c r="G20" i="3" s="1"/>
  <c r="H20" i="3" s="1"/>
  <c r="I20" i="3" s="1"/>
  <c r="G28" i="4"/>
  <c r="G29" i="4" s="1"/>
  <c r="F28" i="4"/>
  <c r="F29" i="4" s="1"/>
  <c r="D24" i="3"/>
  <c r="H28" i="4"/>
  <c r="H29" i="4" s="1"/>
  <c r="I28" i="4"/>
  <c r="I29" i="4" s="1"/>
  <c r="I16" i="4"/>
  <c r="G12" i="6"/>
  <c r="I15" i="4"/>
  <c r="I25" i="4" s="1"/>
  <c r="F16" i="4"/>
  <c r="F15" i="4"/>
  <c r="E12" i="6"/>
  <c r="G16" i="4"/>
  <c r="G15" i="4"/>
  <c r="G25" i="4" s="1"/>
  <c r="E15" i="4"/>
  <c r="E16" i="4"/>
  <c r="F12" i="6"/>
  <c r="H16" i="4"/>
  <c r="H15" i="4"/>
  <c r="G63" i="6"/>
  <c r="G36" i="6"/>
  <c r="F25" i="4" l="1"/>
  <c r="F31" i="4" s="1"/>
  <c r="H25" i="4"/>
  <c r="H31" i="4" s="1"/>
  <c r="G31" i="4"/>
  <c r="I31" i="4"/>
  <c r="E25" i="4"/>
  <c r="E31" i="4" s="1"/>
  <c r="E32" i="4" s="1"/>
  <c r="D34" i="6"/>
  <c r="D31" i="6"/>
  <c r="D33" i="6"/>
  <c r="D35" i="6"/>
  <c r="G34" i="6"/>
  <c r="G31" i="6"/>
  <c r="G56" i="6" s="1"/>
  <c r="G35" i="6"/>
  <c r="G33" i="6"/>
  <c r="G70" i="6" s="1"/>
  <c r="E31" i="6"/>
  <c r="E34" i="6"/>
  <c r="E35" i="6"/>
  <c r="E33" i="6"/>
  <c r="F34" i="6"/>
  <c r="F31" i="6"/>
  <c r="F35" i="6"/>
  <c r="F33" i="6"/>
  <c r="C34" i="6"/>
  <c r="C33" i="6"/>
  <c r="C31" i="6"/>
  <c r="C35" i="6"/>
  <c r="G37" i="6" l="1"/>
  <c r="G57" i="6" s="1"/>
  <c r="F32" i="4"/>
  <c r="G32" i="4" s="1"/>
  <c r="H32" i="4" s="1"/>
  <c r="I32" i="4" s="1"/>
  <c r="E70" i="6"/>
  <c r="E37" i="6"/>
  <c r="C56" i="6"/>
  <c r="C93" i="6" s="1"/>
  <c r="D56" i="6"/>
  <c r="C70" i="6"/>
  <c r="C37" i="6"/>
  <c r="D70" i="6"/>
  <c r="D37" i="6"/>
  <c r="D57" i="6" s="1"/>
  <c r="E56" i="6"/>
  <c r="F70" i="6"/>
  <c r="G96" i="6" s="1"/>
  <c r="F37" i="6"/>
  <c r="F57" i="6" s="1"/>
  <c r="F56" i="6"/>
  <c r="G93" i="6" s="1"/>
  <c r="C57" i="6" l="1"/>
  <c r="C94" i="6" s="1"/>
  <c r="C38" i="6"/>
  <c r="C43" i="6" s="1"/>
  <c r="C46" i="6" s="1"/>
  <c r="C48" i="6" s="1"/>
  <c r="C72" i="6" s="1"/>
  <c r="C98" i="6" s="1"/>
  <c r="E57" i="6"/>
  <c r="E94" i="6" s="1"/>
  <c r="E38" i="6"/>
  <c r="E43" i="6" s="1"/>
  <c r="E46" i="6" s="1"/>
  <c r="E48" i="6" s="1"/>
  <c r="E72" i="6" s="1"/>
  <c r="D96" i="6"/>
  <c r="G94" i="6"/>
  <c r="G38" i="6"/>
  <c r="G43" i="6" s="1"/>
  <c r="G46" i="6" s="1"/>
  <c r="G48" i="6" s="1"/>
  <c r="G72" i="6" s="1"/>
  <c r="G73" i="6" s="1"/>
  <c r="F38" i="6"/>
  <c r="F43" i="6" s="1"/>
  <c r="F46" i="6" s="1"/>
  <c r="F48" i="6" s="1"/>
  <c r="F72" i="6" s="1"/>
  <c r="F73" i="6" s="1"/>
  <c r="D93" i="6"/>
  <c r="D94" i="6"/>
  <c r="E93" i="6"/>
  <c r="E96" i="6"/>
  <c r="F96" i="6"/>
  <c r="C96" i="6"/>
  <c r="F93" i="6"/>
  <c r="F94" i="6"/>
  <c r="D38" i="6"/>
  <c r="D43" i="6" s="1"/>
  <c r="D46" i="6" s="1"/>
  <c r="G50" i="6" l="1"/>
  <c r="C50" i="6"/>
  <c r="C81" i="6" s="1"/>
  <c r="F50" i="6"/>
  <c r="C73" i="6"/>
  <c r="E50" i="6"/>
  <c r="D48" i="6"/>
  <c r="D72" i="6" s="1"/>
  <c r="E98" i="6" s="1"/>
  <c r="F98" i="6"/>
  <c r="G98" i="6"/>
  <c r="E73" i="6"/>
  <c r="C89" i="6" l="1"/>
  <c r="C91" i="6" s="1"/>
  <c r="C100" i="6" s="1"/>
  <c r="C110" i="6" s="1"/>
  <c r="C113" i="6" s="1"/>
  <c r="C82" i="6"/>
  <c r="D50" i="6"/>
  <c r="D81" i="6" s="1"/>
  <c r="E81" i="6" s="1"/>
  <c r="D98" i="6"/>
  <c r="D73" i="6"/>
  <c r="C84" i="6" l="1"/>
  <c r="C65" i="6" s="1"/>
  <c r="C59" i="6" s="1"/>
  <c r="D82" i="6"/>
  <c r="D84" i="6" s="1"/>
  <c r="D65" i="6" s="1"/>
  <c r="D59" i="6" s="1"/>
  <c r="D55" i="6" s="1"/>
  <c r="D89" i="6"/>
  <c r="D91" i="6" s="1"/>
  <c r="D100" i="6" s="1"/>
  <c r="D110" i="6" s="1"/>
  <c r="F81" i="6"/>
  <c r="E82" i="6"/>
  <c r="E84" i="6" s="1"/>
  <c r="E65" i="6" s="1"/>
  <c r="E59" i="6" s="1"/>
  <c r="E55" i="6" s="1"/>
  <c r="F112" i="6" s="1"/>
  <c r="E89" i="6"/>
  <c r="E91" i="6" s="1"/>
  <c r="E100" i="6" s="1"/>
  <c r="E110" i="6" s="1"/>
  <c r="C55" i="6" l="1"/>
  <c r="D112" i="6" s="1"/>
  <c r="D113" i="6" s="1"/>
  <c r="E112" i="6"/>
  <c r="E113" i="6" s="1"/>
  <c r="F89" i="6"/>
  <c r="F91" i="6" s="1"/>
  <c r="F100" i="6" s="1"/>
  <c r="F110" i="6" s="1"/>
  <c r="F113" i="6" s="1"/>
  <c r="G81" i="6"/>
  <c r="F82" i="6"/>
  <c r="F84" i="6" s="1"/>
  <c r="F65" i="6" s="1"/>
  <c r="F59" i="6" s="1"/>
  <c r="F55" i="6" s="1"/>
  <c r="G112" i="6" s="1"/>
  <c r="G89" i="6" l="1"/>
  <c r="G91" i="6" s="1"/>
  <c r="G100" i="6" s="1"/>
  <c r="G110" i="6" s="1"/>
  <c r="G113" i="6" s="1"/>
  <c r="G82" i="6"/>
  <c r="G84" i="6" s="1"/>
  <c r="G65" i="6" s="1"/>
  <c r="G59" i="6" s="1"/>
  <c r="G55" i="6" s="1"/>
</calcChain>
</file>

<file path=xl/sharedStrings.xml><?xml version="1.0" encoding="utf-8"?>
<sst xmlns="http://schemas.openxmlformats.org/spreadsheetml/2006/main" count="315" uniqueCount="259">
  <si>
    <t>Design</t>
  </si>
  <si>
    <t>Prototyping</t>
  </si>
  <si>
    <t xml:space="preserve">Employees: </t>
  </si>
  <si>
    <t>Prof Brown</t>
  </si>
  <si>
    <t>Materials</t>
  </si>
  <si>
    <t>Materials:</t>
  </si>
  <si>
    <t>Grad Students</t>
  </si>
  <si>
    <t>Rent</t>
  </si>
  <si>
    <t>Production</t>
  </si>
  <si>
    <t>Distribution</t>
  </si>
  <si>
    <t>Including break-even point</t>
  </si>
  <si>
    <t>Assume desingn takes one to two years</t>
  </si>
  <si>
    <t>Seend funding depends on how much necessary to develop product</t>
  </si>
  <si>
    <t>Series A funding depends on how much necessary to start operations</t>
  </si>
  <si>
    <t>Series C funding for potential future business strategies</t>
  </si>
  <si>
    <t>Series B funding for expanding operations like creating new products or expanding to new markets</t>
  </si>
  <si>
    <t>Sales</t>
  </si>
  <si>
    <t>??</t>
  </si>
  <si>
    <t>Plastic base</t>
  </si>
  <si>
    <t xml:space="preserve">Manufacturing: </t>
  </si>
  <si>
    <t>Polymer pieces</t>
  </si>
  <si>
    <t xml:space="preserve">Software: </t>
  </si>
  <si>
    <t>CAD</t>
  </si>
  <si>
    <t>Machines:</t>
  </si>
  <si>
    <t>3D Printers</t>
  </si>
  <si>
    <t>Press</t>
  </si>
  <si>
    <t>Seat sensor device</t>
  </si>
  <si>
    <t>Senior Design Project</t>
  </si>
  <si>
    <t>Labor</t>
  </si>
  <si>
    <t>Parts budget</t>
  </si>
  <si>
    <t>Nonslip bottom</t>
  </si>
  <si>
    <t>Washable fabric covers</t>
  </si>
  <si>
    <t>Ugrad (me)</t>
  </si>
  <si>
    <t xml:space="preserve">Testing: </t>
  </si>
  <si>
    <t>Groups</t>
  </si>
  <si>
    <t>Cooling gel insert</t>
  </si>
  <si>
    <t>(already have equipment)</t>
  </si>
  <si>
    <t>(by hand)</t>
  </si>
  <si>
    <t>(custom orders)</t>
  </si>
  <si>
    <t>Cost per prototype</t>
  </si>
  <si>
    <t>Estimated # of prototypes per product:</t>
  </si>
  <si>
    <t>Estimated # of products</t>
  </si>
  <si>
    <t>Total cost</t>
  </si>
  <si>
    <t xml:space="preserve">Buying externally: </t>
  </si>
  <si>
    <t>Capital Equipment</t>
  </si>
  <si>
    <t>3D printers</t>
  </si>
  <si>
    <t>Industrial</t>
  </si>
  <si>
    <t>Office</t>
  </si>
  <si>
    <t>Direct</t>
  </si>
  <si>
    <t>Packaging</t>
  </si>
  <si>
    <t>Shipping</t>
  </si>
  <si>
    <t>In person</t>
  </si>
  <si>
    <t>Space</t>
  </si>
  <si>
    <t>eRetatiler</t>
  </si>
  <si>
    <t>Sewing</t>
  </si>
  <si>
    <t>Cost to sell</t>
  </si>
  <si>
    <t>Sewing machines</t>
  </si>
  <si>
    <t>Cutting templates</t>
  </si>
  <si>
    <t>Scissors</t>
  </si>
  <si>
    <t>Utilities</t>
  </si>
  <si>
    <t>Electricity</t>
  </si>
  <si>
    <t>Water</t>
  </si>
  <si>
    <t>Gas</t>
  </si>
  <si>
    <t>Insurance</t>
  </si>
  <si>
    <t>Property</t>
  </si>
  <si>
    <t>Lawyer</t>
  </si>
  <si>
    <t>Accountant</t>
  </si>
  <si>
    <t>Advertising and Marketing</t>
  </si>
  <si>
    <t>Investors</t>
  </si>
  <si>
    <t>Loans</t>
  </si>
  <si>
    <t>Customer Service</t>
  </si>
  <si>
    <t>Heating pad insert</t>
  </si>
  <si>
    <t>Interior fabric</t>
  </si>
  <si>
    <t>Cover fabric</t>
  </si>
  <si>
    <t>Driving</t>
  </si>
  <si>
    <t>Office chair and gaming</t>
  </si>
  <si>
    <t>Sciatica</t>
  </si>
  <si>
    <t>Hemmoroids</t>
  </si>
  <si>
    <t>Sore coccyx</t>
  </si>
  <si>
    <t>Lumbar pillows</t>
  </si>
  <si>
    <t>Neck/back pain</t>
  </si>
  <si>
    <t>Wheelchair</t>
  </si>
  <si>
    <t>Pregnant</t>
  </si>
  <si>
    <t>Post-op</t>
  </si>
  <si>
    <t>Senior citizens</t>
  </si>
  <si>
    <t>Frequent travelers</t>
  </si>
  <si>
    <t>Polymer mechanisms</t>
  </si>
  <si>
    <t xml:space="preserve">Glue? </t>
  </si>
  <si>
    <t>Assembly</t>
  </si>
  <si>
    <t>Small, medium, and large sizes of everything based on weight</t>
  </si>
  <si>
    <t>Rent annually</t>
  </si>
  <si>
    <t>Wifi</t>
  </si>
  <si>
    <t>Utilities annually</t>
  </si>
  <si>
    <t>Insurance annually</t>
  </si>
  <si>
    <t>Parts cost per 100 products</t>
  </si>
  <si>
    <t xml:space="preserve"> -  </t>
  </si>
  <si>
    <t xml:space="preserve"> - </t>
  </si>
  <si>
    <t>Labor cost annually</t>
  </si>
  <si>
    <t>(outsourced)</t>
  </si>
  <si>
    <t>Web Development</t>
  </si>
  <si>
    <t>Packaging per 100</t>
  </si>
  <si>
    <t>Website annually</t>
  </si>
  <si>
    <t>Shipping per 100</t>
  </si>
  <si>
    <t>paid by customer</t>
  </si>
  <si>
    <t>Shipping average per retailer</t>
  </si>
  <si>
    <t>Their cut per 100</t>
  </si>
  <si>
    <t>Adoption rate</t>
  </si>
  <si>
    <t>Cost per product</t>
  </si>
  <si>
    <t>Market size</t>
  </si>
  <si>
    <t>Pot. back injury cust.</t>
  </si>
  <si>
    <t>Pot. Wheelchair cust.</t>
  </si>
  <si>
    <t>Truckers</t>
  </si>
  <si>
    <t>Office workers</t>
  </si>
  <si>
    <t>Pregnant women</t>
  </si>
  <si>
    <t>% that might buy</t>
  </si>
  <si>
    <t>Market population</t>
  </si>
  <si>
    <t>Total</t>
  </si>
  <si>
    <t>Total market pop.</t>
  </si>
  <si>
    <t>Year</t>
  </si>
  <si>
    <t>Revenue</t>
  </si>
  <si>
    <t>Costs</t>
  </si>
  <si>
    <t>Sell outside USA</t>
  </si>
  <si>
    <t xml:space="preserve">Later ideas: </t>
  </si>
  <si>
    <t>Tall cushions for short people</t>
  </si>
  <si>
    <t>Design and prototyping</t>
  </si>
  <si>
    <t>Potential uses</t>
  </si>
  <si>
    <t xml:space="preserve">Product line up: </t>
  </si>
  <si>
    <t>Car-seat sized</t>
  </si>
  <si>
    <t>Office chair sized</t>
  </si>
  <si>
    <t>Donut for hemmorroids</t>
  </si>
  <si>
    <t>Coccyx cut out</t>
  </si>
  <si>
    <t>Especially soft for senior citizens and  bony butts</t>
  </si>
  <si>
    <t>A little firmer with sloping legs for posture</t>
  </si>
  <si>
    <t>Small and light for travelers</t>
  </si>
  <si>
    <t>Bike saddle style for sciatica</t>
  </si>
  <si>
    <t>Web development</t>
  </si>
  <si>
    <t>Outsourced parts</t>
  </si>
  <si>
    <t>Heating pads and cold packs</t>
  </si>
  <si>
    <t>sum outsourced</t>
  </si>
  <si>
    <t>sum materials</t>
  </si>
  <si>
    <t>To include income statement, cash flow statement, and balance sheet</t>
  </si>
  <si>
    <t>Units sold</t>
  </si>
  <si>
    <t>Opening</t>
  </si>
  <si>
    <t>Design pillow lumbar and heat pad</t>
  </si>
  <si>
    <t>Outsource fabric cover manufacturing</t>
  </si>
  <si>
    <t>Marketing &amp; Ads</t>
  </si>
  <si>
    <t>Outsource outer fabric</t>
  </si>
  <si>
    <t xml:space="preserve"> - cover</t>
  </si>
  <si>
    <t xml:space="preserve"> + cover</t>
  </si>
  <si>
    <t>Annual total</t>
  </si>
  <si>
    <t>Overall Total</t>
  </si>
  <si>
    <t>Seed</t>
  </si>
  <si>
    <t>Series A (after yr 0)</t>
  </si>
  <si>
    <t>Investment goals</t>
  </si>
  <si>
    <t>Series B (after yr 1)</t>
  </si>
  <si>
    <t>Custom cushions</t>
  </si>
  <si>
    <t>After taxes and fees</t>
  </si>
  <si>
    <t>Start developing custom cushions</t>
  </si>
  <si>
    <t>Series C (yr 4)</t>
  </si>
  <si>
    <t>Key Assumptions</t>
  </si>
  <si>
    <t>Blue numbers are simply sums of the numbers above them.</t>
  </si>
  <si>
    <t>Green numbers are calculated, based upon results elsewhere in the statements.</t>
  </si>
  <si>
    <t>Year 1</t>
  </si>
  <si>
    <t>Year 2</t>
  </si>
  <si>
    <t>Year 3</t>
  </si>
  <si>
    <t>Year 4</t>
  </si>
  <si>
    <t>Year 5</t>
  </si>
  <si>
    <t>Avg Selling Price</t>
  </si>
  <si>
    <t>Material Cost per unit</t>
  </si>
  <si>
    <t>Direct Labor cost per unit</t>
  </si>
  <si>
    <t>Variable Overhead per unit</t>
  </si>
  <si>
    <t>Depreciation</t>
  </si>
  <si>
    <t>Other Fixed Overheads</t>
  </si>
  <si>
    <t>Days Sales Outstanding</t>
  </si>
  <si>
    <t>Inventory Days</t>
  </si>
  <si>
    <t>Days Payable Outstanding</t>
  </si>
  <si>
    <t>Taxes Payable</t>
  </si>
  <si>
    <t>Depreciation Period (years)</t>
  </si>
  <si>
    <t>Tax Rate</t>
  </si>
  <si>
    <t>Interest Rate</t>
  </si>
  <si>
    <t>Employee Headcount</t>
  </si>
  <si>
    <t>Income Statement:</t>
  </si>
  <si>
    <t>CGS:</t>
  </si>
  <si>
    <t>Material</t>
  </si>
  <si>
    <t xml:space="preserve">Direct labor </t>
  </si>
  <si>
    <t xml:space="preserve">Variable Overhead </t>
  </si>
  <si>
    <t>Fixed Overhead</t>
  </si>
  <si>
    <t>Total CGS</t>
  </si>
  <si>
    <t>Gross Margin</t>
  </si>
  <si>
    <t>Sales &amp; Marketing</t>
  </si>
  <si>
    <t>G&amp;A</t>
  </si>
  <si>
    <t>(EBIT) Operating Profit</t>
  </si>
  <si>
    <t>Interest Expense</t>
  </si>
  <si>
    <t>Pretax Income</t>
  </si>
  <si>
    <t>Tax Provision</t>
  </si>
  <si>
    <t>Net Income</t>
  </si>
  <si>
    <t>Balance Sheet</t>
  </si>
  <si>
    <t>Cash</t>
  </si>
  <si>
    <t>A/R</t>
  </si>
  <si>
    <t>Inventory</t>
  </si>
  <si>
    <t>Other C/A</t>
  </si>
  <si>
    <t>Total C/A</t>
  </si>
  <si>
    <t>Fixed Assets</t>
  </si>
  <si>
    <t>Acc Depreciation</t>
  </si>
  <si>
    <t>Net Fixed Assets</t>
  </si>
  <si>
    <t>Total Assets</t>
  </si>
  <si>
    <t>Liabilities &amp; Equity:</t>
  </si>
  <si>
    <t>Notes payable</t>
  </si>
  <si>
    <t>Current Portion LTD</t>
  </si>
  <si>
    <t>Accounts Payable</t>
  </si>
  <si>
    <t>Accrued Expenses</t>
  </si>
  <si>
    <t>Accrued Taxes</t>
  </si>
  <si>
    <t>Total C/L</t>
  </si>
  <si>
    <t>LTD</t>
  </si>
  <si>
    <t>S/E:</t>
  </si>
  <si>
    <t>Preferred Stock</t>
  </si>
  <si>
    <t>Capital Stock</t>
  </si>
  <si>
    <t>Current Year Dividends</t>
  </si>
  <si>
    <t>Retained Earnings</t>
  </si>
  <si>
    <t>Total Equity</t>
  </si>
  <si>
    <t>Total Liab &amp; S/E</t>
  </si>
  <si>
    <t>Cash Flow:</t>
  </si>
  <si>
    <t>Change in W/C:</t>
  </si>
  <si>
    <t>Prepaid Exp</t>
  </si>
  <si>
    <t>A/P</t>
  </si>
  <si>
    <t>Accr Liabilities</t>
  </si>
  <si>
    <t>Accr Taxes</t>
  </si>
  <si>
    <t>Cash Flow from Oper</t>
  </si>
  <si>
    <t>Financing /Investing Act.</t>
  </si>
  <si>
    <t>Fixed Asset Purchases</t>
  </si>
  <si>
    <t>Sale of Stock</t>
  </si>
  <si>
    <t>Dividends</t>
  </si>
  <si>
    <t>Bank Borrow (Repay)</t>
  </si>
  <si>
    <t>Net Financing/Inv Act.</t>
  </si>
  <si>
    <t>Cash Flow</t>
  </si>
  <si>
    <t>Cash Beginning</t>
  </si>
  <si>
    <t>Cash Ending</t>
  </si>
  <si>
    <t>Total cost per product</t>
  </si>
  <si>
    <t>Year 0</t>
  </si>
  <si>
    <t>Total estimate</t>
  </si>
  <si>
    <t>Seated Solutions</t>
  </si>
  <si>
    <t>Travel</t>
  </si>
  <si>
    <t>Assembly labor</t>
  </si>
  <si>
    <t>Clinical trials?</t>
  </si>
  <si>
    <t>Testimonials</t>
  </si>
  <si>
    <t>Patents</t>
  </si>
  <si>
    <t>Sales' salary</t>
  </si>
  <si>
    <t>Founders' salary</t>
  </si>
  <si>
    <t>US Pop.</t>
  </si>
  <si>
    <t># cust.</t>
  </si>
  <si>
    <t>*fixed</t>
  </si>
  <si>
    <t>:G&amp;A</t>
  </si>
  <si>
    <t>*</t>
  </si>
  <si>
    <t>"variable</t>
  </si>
  <si>
    <t>"</t>
  </si>
  <si>
    <t>\sales</t>
  </si>
  <si>
    <t>\</t>
  </si>
  <si>
    <t>:</t>
  </si>
  <si>
    <t>Growth factor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</si>
</sst>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6">
    <numFmt numFmtId="6" formatCode="&quot;$&quot;#,##0_);[Red]\(&quot;$&quot;#,##0\)"/>
    <numFmt numFmtId="8" formatCode="&quot;$&quot;#,##0.00_);[Red]\(&quot;$&quot;#,##0.00\)"/>
    <numFmt numFmtId="164" formatCode="&quot;$&quot;#,##0.00"/>
    <numFmt numFmtId="165" formatCode="_(\$* #,##0.00_);_(\$* \(#,##0.00\);_(\$* \-??_);_(@_)"/>
    <numFmt numFmtId="166" formatCode="mm/dd/yy"/>
    <numFmt numFmtId="167" formatCode="_(* #,##0.00_);_(* \(#,##0.00\);_(* \-??_);_(@_)"/>
  </numFmts>
  <fonts count="15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0"/>
      <name val="Arial"/>
      <family val="2"/>
    </font>
    <font>
      <sz val="10"/>
      <color indexed="12"/>
      <name val="Arial"/>
      <family val="2"/>
    </font>
    <font>
      <sz val="10"/>
      <color indexed="17"/>
      <name val="Arial"/>
      <family val="2"/>
    </font>
    <font>
      <b/>
      <sz val="10"/>
      <name val="Arial"/>
      <family val="2"/>
    </font>
    <font>
      <sz val="10"/>
      <color indexed="57"/>
      <name val="Arial"/>
      <family val="2"/>
    </font>
    <font>
      <u/>
      <sz val="10"/>
      <name val="Arial"/>
      <family val="2"/>
    </font>
    <font>
      <b/>
      <sz val="10"/>
      <color indexed="12"/>
      <name val="Arial"/>
      <family val="2"/>
    </font>
    <font>
      <sz val="10"/>
      <color indexed="10"/>
      <name val="Arial"/>
      <family val="2"/>
    </font>
    <font>
      <b/>
      <sz val="10"/>
      <color indexed="17"/>
      <name val="Arial"/>
      <family val="2"/>
    </font>
    <font>
      <i/>
      <sz val="10"/>
      <name val="Arial"/>
      <family val="2"/>
    </font>
    <font>
      <b/>
      <sz val="10"/>
      <color indexed="10"/>
      <name val="Arial"/>
      <family val="2"/>
    </font>
    <font>
      <sz val="10"/>
      <color indexed="19"/>
      <name val="Arial"/>
      <family val="2"/>
    </font>
    <font>
      <sz val="10"/>
      <color indexed="8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indexed="43"/>
        <bgColor indexed="26"/>
      </patternFill>
    </fill>
  </fills>
  <borders count="3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</borders>
  <cellStyleXfs count="5">
    <xf numFmtId="0" fontId="0" fillId="0" borderId="0"/>
    <xf numFmtId="0" fontId="2" fillId="0" borderId="0"/>
    <xf numFmtId="167" fontId="2" fillId="0" borderId="0" applyFill="0" applyBorder="0" applyAlignment="0" applyProtection="0"/>
    <xf numFmtId="165" fontId="2" fillId="0" borderId="0" applyFill="0" applyBorder="0" applyAlignment="0" applyProtection="0"/>
    <xf numFmtId="9" fontId="2" fillId="0" borderId="0" applyFill="0" applyBorder="0" applyAlignment="0" applyProtection="0"/>
  </cellStyleXfs>
  <cellXfs count="28">
    <xf numFmtId="0" fontId="0" fillId="0" borderId="0" xfId="0"/>
    <xf numFmtId="0" fontId="1" fillId="0" borderId="0" xfId="0" applyFont="1"/>
    <xf numFmtId="6" fontId="0" fillId="0" borderId="0" xfId="0" applyNumberFormat="1"/>
    <xf numFmtId="164" fontId="0" fillId="0" borderId="0" xfId="0" applyNumberFormat="1"/>
    <xf numFmtId="9" fontId="0" fillId="0" borderId="0" xfId="0" applyNumberFormat="1"/>
    <xf numFmtId="10" fontId="0" fillId="0" borderId="0" xfId="0" applyNumberFormat="1"/>
    <xf numFmtId="8" fontId="0" fillId="0" borderId="0" xfId="0" applyNumberFormat="1"/>
    <xf numFmtId="37" fontId="0" fillId="0" borderId="0" xfId="0" applyNumberFormat="1"/>
    <xf numFmtId="166" fontId="0" fillId="0" borderId="0" xfId="0" applyNumberFormat="1"/>
    <xf numFmtId="37" fontId="3" fillId="0" borderId="0" xfId="0" applyNumberFormat="1" applyFont="1"/>
    <xf numFmtId="37" fontId="4" fillId="0" borderId="0" xfId="0" applyNumberFormat="1" applyFont="1"/>
    <xf numFmtId="37" fontId="5" fillId="0" borderId="0" xfId="0" applyNumberFormat="1" applyFont="1" applyAlignment="1">
      <alignment horizontal="center"/>
    </xf>
    <xf numFmtId="4" fontId="0" fillId="0" borderId="0" xfId="0" applyNumberFormat="1"/>
    <xf numFmtId="37" fontId="13" fillId="0" borderId="0" xfId="0" applyNumberFormat="1" applyFont="1"/>
    <xf numFmtId="37" fontId="5" fillId="0" borderId="1" xfId="0" applyNumberFormat="1" applyFont="1" applyBorder="1" applyAlignment="1">
      <alignment horizontal="center"/>
    </xf>
    <xf numFmtId="37" fontId="6" fillId="0" borderId="0" xfId="0" applyNumberFormat="1" applyFont="1"/>
    <xf numFmtId="37" fontId="7" fillId="0" borderId="0" xfId="0" applyNumberFormat="1" applyFont="1"/>
    <xf numFmtId="37" fontId="8" fillId="0" borderId="0" xfId="0" applyNumberFormat="1" applyFont="1"/>
    <xf numFmtId="37" fontId="5" fillId="0" borderId="0" xfId="0" applyNumberFormat="1" applyFont="1"/>
    <xf numFmtId="37" fontId="9" fillId="0" borderId="0" xfId="0" applyNumberFormat="1" applyFont="1"/>
    <xf numFmtId="37" fontId="14" fillId="0" borderId="0" xfId="0" applyNumberFormat="1" applyFont="1"/>
    <xf numFmtId="37" fontId="10" fillId="0" borderId="0" xfId="0" applyNumberFormat="1" applyFont="1"/>
    <xf numFmtId="37" fontId="11" fillId="0" borderId="0" xfId="0" applyNumberFormat="1" applyFont="1"/>
    <xf numFmtId="37" fontId="5" fillId="2" borderId="2" xfId="0" applyNumberFormat="1" applyFont="1" applyFill="1" applyBorder="1" applyAlignment="1">
      <alignment horizontal="center"/>
    </xf>
    <xf numFmtId="37" fontId="12" fillId="0" borderId="0" xfId="0" applyNumberFormat="1" applyFont="1"/>
    <xf numFmtId="2" fontId="0" fillId="0" borderId="0" xfId="0" applyNumberFormat="1"/>
    <xf numFmtId="1" fontId="0" fillId="0" borderId="0" xfId="0" applyNumberFormat="1"/>
    <xf numFmtId="37" fontId="5" fillId="2" borderId="1" xfId="0" applyNumberFormat="1" applyFont="1" applyFill="1" applyBorder="1" applyAlignment="1">
      <alignment horizontal="center"/>
    </xf>
  </cellXfs>
  <cellStyles count="5">
    <cellStyle name="Comma 2" xfId="2" xr:uid="{03FE02BA-142E-47F5-B6ED-6571E81AF770}"/>
    <cellStyle name="Currency 2" xfId="3" xr:uid="{0FA99C23-9AD7-4FB0-B91C-170AC69AF303}"/>
    <cellStyle name="Normal" xfId="0" builtinId="0"/>
    <cellStyle name="Normal 2" xfId="1" xr:uid="{D241FC15-5889-439F-87C9-C16915786D10}"/>
    <cellStyle name="Percent 2" xfId="4" xr:uid="{9D253D6E-3C30-452C-9F5F-875290E24087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externalLink" Target="externalLinks/externalLink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calcChain" Target="calcChain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/>
              <a:t>Five-Year</a:t>
            </a:r>
            <a:r>
              <a:rPr lang="en-US" baseline="0"/>
              <a:t> Forcast</a:t>
            </a:r>
            <a:endParaRPr lang="en-US"/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v>Annual Costs</c:v>
          </c:tx>
          <c:spPr>
            <a:ln w="28575" cap="rnd">
              <a:solidFill>
                <a:schemeClr val="accent1"/>
              </a:solidFill>
              <a:round/>
            </a:ln>
            <a:effectLst/>
          </c:spPr>
          <c:marker>
            <c:symbol val="none"/>
          </c:marker>
          <c:cat>
            <c:numRef>
              <c:f>'Five-year Analysis'!$D$5:$I$5</c:f>
              <c:numCache>
                <c:formatCode>General</c:formatCode>
                <c:ptCount val="6"/>
                <c:pt idx="0">
                  <c:v>0</c:v>
                </c:pt>
                <c:pt idx="1">
                  <c:v>1</c:v>
                </c:pt>
                <c:pt idx="2">
                  <c:v>2</c:v>
                </c:pt>
                <c:pt idx="3">
                  <c:v>3</c:v>
                </c:pt>
                <c:pt idx="4">
                  <c:v>4</c:v>
                </c:pt>
                <c:pt idx="5">
                  <c:v>5</c:v>
                </c:pt>
              </c:numCache>
            </c:numRef>
          </c:cat>
          <c:val>
            <c:numRef>
              <c:f>'Five-year Analysis'!$D$25:$I$25</c:f>
              <c:numCache>
                <c:formatCode>"$"#,##0_);[Red]\("$"#,##0\)</c:formatCode>
                <c:ptCount val="6"/>
                <c:pt idx="0">
                  <c:v>15250</c:v>
                </c:pt>
                <c:pt idx="1">
                  <c:v>263628.125</c:v>
                </c:pt>
                <c:pt idx="2">
                  <c:v>459074.12882500002</c:v>
                </c:pt>
                <c:pt idx="3">
                  <c:v>745372.92735243752</c:v>
                </c:pt>
                <c:pt idx="4">
                  <c:v>1037735.443551282</c:v>
                </c:pt>
                <c:pt idx="5">
                  <c:v>1492305.3300415217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EA09-410B-9CC8-D224B514C6A1}"/>
            </c:ext>
          </c:extLst>
        </c:ser>
        <c:ser>
          <c:idx val="1"/>
          <c:order val="1"/>
          <c:tx>
            <c:v>Annual Revenue</c:v>
          </c:tx>
          <c:spPr>
            <a:ln w="28575" cap="rnd">
              <a:solidFill>
                <a:schemeClr val="accent2"/>
              </a:solidFill>
              <a:round/>
            </a:ln>
            <a:effectLst/>
          </c:spPr>
          <c:marker>
            <c:symbol val="none"/>
          </c:marker>
          <c:val>
            <c:numRef>
              <c:f>'Five-year Analysis'!$D$29:$I$29</c:f>
              <c:numCache>
                <c:formatCode>"$"#,##0.00_);[Red]\("$"#,##0.00\)</c:formatCode>
                <c:ptCount val="6"/>
                <c:pt idx="0" formatCode="&quot;$&quot;#,##0_);[Red]\(&quot;$&quot;#,##0\)">
                  <c:v>0</c:v>
                </c:pt>
                <c:pt idx="1">
                  <c:v>50598.8</c:v>
                </c:pt>
                <c:pt idx="2">
                  <c:v>268932.62200000003</c:v>
                </c:pt>
                <c:pt idx="3">
                  <c:v>714688.44296499994</c:v>
                </c:pt>
                <c:pt idx="4">
                  <c:v>1519427.6297435898</c:v>
                </c:pt>
                <c:pt idx="5">
                  <c:v>2745757.669709641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2-EA09-410B-9CC8-D224B514C6A1}"/>
            </c:ext>
          </c:extLst>
        </c:ser>
        <c:ser>
          <c:idx val="2"/>
          <c:order val="2"/>
          <c:tx>
            <c:v>Total</c:v>
          </c:tx>
          <c:spPr>
            <a:ln w="28575" cap="rnd">
              <a:solidFill>
                <a:schemeClr val="accent3"/>
              </a:solidFill>
              <a:round/>
            </a:ln>
            <a:effectLst/>
          </c:spPr>
          <c:marker>
            <c:symbol val="none"/>
          </c:marker>
          <c:val>
            <c:numRef>
              <c:f>'Five-year Analysis'!$D$32:$I$32</c:f>
              <c:numCache>
                <c:formatCode>"$"#,##0.00_);[Red]\("$"#,##0.00\)</c:formatCode>
                <c:ptCount val="6"/>
                <c:pt idx="0" formatCode="&quot;$&quot;#,##0_);[Red]\(&quot;$&quot;#,##0\)">
                  <c:v>-15250</c:v>
                </c:pt>
                <c:pt idx="1">
                  <c:v>-228279.32500000001</c:v>
                </c:pt>
                <c:pt idx="2">
                  <c:v>-418420.831825</c:v>
                </c:pt>
                <c:pt idx="3">
                  <c:v>-449105.31621243758</c:v>
                </c:pt>
                <c:pt idx="4">
                  <c:v>32586.869979870156</c:v>
                </c:pt>
                <c:pt idx="5">
                  <c:v>1286039.2096479894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3-EA09-410B-9CC8-D224B514C6A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755955344"/>
        <c:axId val="755954064"/>
      </c:lineChart>
      <c:catAx>
        <c:axId val="755955344"/>
        <c:scaling>
          <c:orientation val="minMax"/>
        </c:scaling>
        <c:delete val="0"/>
        <c:axPos val="b"/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/>
                  <a:t>Year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General" sourceLinked="1"/>
        <c:majorTickMark val="out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755954064"/>
        <c:crosses val="autoZero"/>
        <c:auto val="1"/>
        <c:lblAlgn val="ctr"/>
        <c:lblOffset val="100"/>
        <c:noMultiLvlLbl val="0"/>
      </c:catAx>
      <c:valAx>
        <c:axId val="755954064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/>
                  <a:t>USD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&quot;$&quot;#,##0_);[Red]\(&quot;$&quot;#,##0\)" sourceLinked="1"/>
        <c:majorTickMark val="out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755955344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r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2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10</xdr:col>
      <xdr:colOff>320040</xdr:colOff>
      <xdr:row>2</xdr:row>
      <xdr:rowOff>121920</xdr:rowOff>
    </xdr:from>
    <xdr:to>
      <xdr:col>19</xdr:col>
      <xdr:colOff>388620</xdr:colOff>
      <xdr:row>28</xdr:row>
      <xdr:rowOff>15240</xdr:rowOff>
    </xdr:to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3C1657F3-FCA0-163C-DEBE-9783B3C45678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17817/Downloads/FinancialSpreadsheet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Monthly"/>
      <sheetName val="Annual"/>
      <sheetName val="Start Up"/>
      <sheetName val="Initial Marketing Expense"/>
      <sheetName val="Break Even Analysis"/>
      <sheetName val="Net Present Value"/>
      <sheetName val="Revenue Model"/>
      <sheetName val="Amortization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>
        <row r="17">
          <cell r="I17">
            <v>0</v>
          </cell>
        </row>
        <row r="18">
          <cell r="I18">
            <v>0</v>
          </cell>
        </row>
        <row r="19">
          <cell r="I19">
            <v>0</v>
          </cell>
        </row>
      </sheetData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1:P27"/>
  <sheetViews>
    <sheetView workbookViewId="0">
      <selection activeCell="L25" sqref="L25"/>
    </sheetView>
  </sheetViews>
  <sheetFormatPr defaultRowHeight="14.4" x14ac:dyDescent="0.3"/>
  <sheetData>
    <row r="1" spans="2:16" x14ac:dyDescent="0.3">
      <c r="B1" t="s">
        <v>11</v>
      </c>
    </row>
    <row r="3" spans="2:16" x14ac:dyDescent="0.3">
      <c r="D3" s="1" t="s">
        <v>0</v>
      </c>
      <c r="J3" s="1" t="s">
        <v>1</v>
      </c>
    </row>
    <row r="4" spans="2:16" x14ac:dyDescent="0.3">
      <c r="B4" t="s">
        <v>2</v>
      </c>
      <c r="H4" t="s">
        <v>5</v>
      </c>
      <c r="L4" s="2">
        <f>SUM(L5:L8)</f>
        <v>75</v>
      </c>
    </row>
    <row r="5" spans="2:16" x14ac:dyDescent="0.3">
      <c r="C5" t="s">
        <v>3</v>
      </c>
      <c r="E5" s="2">
        <v>0</v>
      </c>
      <c r="I5" t="s">
        <v>20</v>
      </c>
      <c r="L5" s="2">
        <v>5</v>
      </c>
    </row>
    <row r="6" spans="2:16" x14ac:dyDescent="0.3">
      <c r="C6" t="s">
        <v>6</v>
      </c>
      <c r="E6" s="2">
        <v>0</v>
      </c>
      <c r="F6" t="s">
        <v>17</v>
      </c>
      <c r="I6" t="s">
        <v>31</v>
      </c>
      <c r="L6" s="2">
        <v>50</v>
      </c>
    </row>
    <row r="7" spans="2:16" x14ac:dyDescent="0.3">
      <c r="C7" t="s">
        <v>32</v>
      </c>
      <c r="E7" s="2">
        <v>0</v>
      </c>
      <c r="I7" t="s">
        <v>30</v>
      </c>
      <c r="L7" s="2">
        <v>10</v>
      </c>
    </row>
    <row r="8" spans="2:16" x14ac:dyDescent="0.3">
      <c r="I8" t="s">
        <v>18</v>
      </c>
      <c r="L8" s="2">
        <v>10</v>
      </c>
    </row>
    <row r="9" spans="2:16" x14ac:dyDescent="0.3">
      <c r="B9" t="s">
        <v>21</v>
      </c>
      <c r="L9" s="2"/>
    </row>
    <row r="10" spans="2:16" x14ac:dyDescent="0.3">
      <c r="C10" t="s">
        <v>22</v>
      </c>
      <c r="E10" s="2">
        <v>0</v>
      </c>
      <c r="H10" t="s">
        <v>19</v>
      </c>
      <c r="L10" s="2">
        <f>SUM(L11:L14)</f>
        <v>150</v>
      </c>
    </row>
    <row r="11" spans="2:16" x14ac:dyDescent="0.3">
      <c r="I11" t="s">
        <v>20</v>
      </c>
      <c r="L11" s="2">
        <v>0</v>
      </c>
      <c r="M11" t="s">
        <v>36</v>
      </c>
    </row>
    <row r="12" spans="2:16" x14ac:dyDescent="0.3">
      <c r="B12" t="s">
        <v>23</v>
      </c>
      <c r="I12" t="s">
        <v>31</v>
      </c>
      <c r="L12" s="2">
        <v>50</v>
      </c>
      <c r="M12" t="s">
        <v>38</v>
      </c>
      <c r="O12" s="2">
        <v>0</v>
      </c>
      <c r="P12" t="s">
        <v>37</v>
      </c>
    </row>
    <row r="13" spans="2:16" x14ac:dyDescent="0.3">
      <c r="C13" t="s">
        <v>24</v>
      </c>
      <c r="E13" s="2">
        <v>0</v>
      </c>
      <c r="I13" t="s">
        <v>30</v>
      </c>
      <c r="L13" s="2">
        <v>50</v>
      </c>
    </row>
    <row r="14" spans="2:16" x14ac:dyDescent="0.3">
      <c r="C14" t="s">
        <v>25</v>
      </c>
      <c r="E14" s="2">
        <v>0</v>
      </c>
      <c r="I14" t="s">
        <v>18</v>
      </c>
      <c r="L14" s="2">
        <v>50</v>
      </c>
    </row>
    <row r="15" spans="2:16" x14ac:dyDescent="0.3">
      <c r="L15" s="2"/>
    </row>
    <row r="16" spans="2:16" x14ac:dyDescent="0.3">
      <c r="H16" t="s">
        <v>43</v>
      </c>
      <c r="L16" s="2">
        <f>SUM(L17:L18)</f>
        <v>30</v>
      </c>
    </row>
    <row r="17" spans="2:12" x14ac:dyDescent="0.3">
      <c r="I17" t="s">
        <v>35</v>
      </c>
      <c r="L17" s="2">
        <v>30</v>
      </c>
    </row>
    <row r="18" spans="2:12" x14ac:dyDescent="0.3">
      <c r="I18" t="s">
        <v>71</v>
      </c>
      <c r="L18" s="2" t="s">
        <v>96</v>
      </c>
    </row>
    <row r="20" spans="2:12" x14ac:dyDescent="0.3">
      <c r="H20" t="s">
        <v>33</v>
      </c>
    </row>
    <row r="21" spans="2:12" x14ac:dyDescent="0.3">
      <c r="D21" s="1" t="s">
        <v>26</v>
      </c>
      <c r="I21" t="s">
        <v>34</v>
      </c>
      <c r="L21" s="2">
        <v>50</v>
      </c>
    </row>
    <row r="22" spans="2:12" x14ac:dyDescent="0.3">
      <c r="B22" t="s">
        <v>27</v>
      </c>
      <c r="E22" s="2"/>
    </row>
    <row r="23" spans="2:12" x14ac:dyDescent="0.3">
      <c r="C23" t="s">
        <v>28</v>
      </c>
      <c r="E23" s="2">
        <v>0</v>
      </c>
      <c r="H23" t="s">
        <v>39</v>
      </c>
      <c r="L23" s="2">
        <f>SUM(L4,L10,L16,L21)</f>
        <v>305</v>
      </c>
    </row>
    <row r="24" spans="2:12" x14ac:dyDescent="0.3">
      <c r="C24" t="s">
        <v>29</v>
      </c>
      <c r="E24" s="2">
        <v>500</v>
      </c>
      <c r="H24" t="s">
        <v>40</v>
      </c>
      <c r="L24">
        <v>5</v>
      </c>
    </row>
    <row r="25" spans="2:12" x14ac:dyDescent="0.3">
      <c r="H25" t="s">
        <v>41</v>
      </c>
      <c r="L25">
        <v>10</v>
      </c>
    </row>
    <row r="26" spans="2:12" x14ac:dyDescent="0.3">
      <c r="H26" t="s">
        <v>239</v>
      </c>
      <c r="L26">
        <f>L24*L25</f>
        <v>50</v>
      </c>
    </row>
    <row r="27" spans="2:12" x14ac:dyDescent="0.3">
      <c r="H27" t="s">
        <v>42</v>
      </c>
      <c r="L27" s="2">
        <f>L23*L26</f>
        <v>15250</v>
      </c>
    </row>
  </sheetData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B8F77A3-AAE0-4FE7-8E75-48A358464239}">
  <dimension ref="B4:U24"/>
  <sheetViews>
    <sheetView workbookViewId="0">
      <selection activeCell="J24" sqref="J24"/>
    </sheetView>
  </sheetViews>
  <sheetFormatPr defaultRowHeight="14.4" x14ac:dyDescent="0.3"/>
  <sheetData>
    <row r="4" spans="2:21" x14ac:dyDescent="0.3">
      <c r="B4" t="s">
        <v>90</v>
      </c>
      <c r="I4" t="s">
        <v>8</v>
      </c>
      <c r="Q4" t="s">
        <v>9</v>
      </c>
    </row>
    <row r="5" spans="2:21" x14ac:dyDescent="0.3">
      <c r="C5" t="s">
        <v>46</v>
      </c>
      <c r="E5" s="2">
        <f>12*2000</f>
        <v>24000</v>
      </c>
      <c r="J5" t="s">
        <v>44</v>
      </c>
      <c r="M5" s="2">
        <f>SUM(M6:M9)</f>
        <v>3200</v>
      </c>
      <c r="R5" t="s">
        <v>48</v>
      </c>
    </row>
    <row r="6" spans="2:21" x14ac:dyDescent="0.3">
      <c r="C6" t="s">
        <v>47</v>
      </c>
      <c r="E6" s="2">
        <v>0</v>
      </c>
      <c r="K6" t="s">
        <v>45</v>
      </c>
      <c r="M6" s="2">
        <v>3000</v>
      </c>
      <c r="S6" t="s">
        <v>101</v>
      </c>
      <c r="U6" s="2">
        <v>500</v>
      </c>
    </row>
    <row r="7" spans="2:21" x14ac:dyDescent="0.3">
      <c r="B7" t="s">
        <v>92</v>
      </c>
      <c r="E7" s="2">
        <f>SUM(E8:E11)</f>
        <v>4860</v>
      </c>
      <c r="K7" t="s">
        <v>56</v>
      </c>
      <c r="M7" s="2">
        <v>200</v>
      </c>
      <c r="S7" t="s">
        <v>100</v>
      </c>
      <c r="U7" s="2">
        <v>100</v>
      </c>
    </row>
    <row r="8" spans="2:21" x14ac:dyDescent="0.3">
      <c r="C8" t="s">
        <v>60</v>
      </c>
      <c r="E8" s="2">
        <f>12*250</f>
        <v>3000</v>
      </c>
      <c r="K8" t="s">
        <v>57</v>
      </c>
      <c r="M8" s="2">
        <v>0</v>
      </c>
      <c r="S8" t="s">
        <v>102</v>
      </c>
      <c r="U8" t="s">
        <v>103</v>
      </c>
    </row>
    <row r="9" spans="2:21" x14ac:dyDescent="0.3">
      <c r="C9" t="s">
        <v>61</v>
      </c>
      <c r="E9" s="2">
        <f>12*30</f>
        <v>360</v>
      </c>
      <c r="K9" t="s">
        <v>58</v>
      </c>
      <c r="M9" s="2">
        <v>0</v>
      </c>
      <c r="R9" t="s">
        <v>51</v>
      </c>
    </row>
    <row r="10" spans="2:21" x14ac:dyDescent="0.3">
      <c r="C10" t="s">
        <v>62</v>
      </c>
      <c r="E10" s="2">
        <f>12*65</f>
        <v>780</v>
      </c>
      <c r="J10" t="s">
        <v>94</v>
      </c>
      <c r="S10" t="s">
        <v>49</v>
      </c>
      <c r="U10" s="2">
        <v>100</v>
      </c>
    </row>
    <row r="11" spans="2:21" x14ac:dyDescent="0.3">
      <c r="C11" t="s">
        <v>91</v>
      </c>
      <c r="E11" s="2">
        <f>12*60</f>
        <v>720</v>
      </c>
      <c r="K11" t="s">
        <v>86</v>
      </c>
      <c r="M11" s="2">
        <v>100</v>
      </c>
      <c r="S11" t="s">
        <v>104</v>
      </c>
      <c r="U11" s="2">
        <v>500</v>
      </c>
    </row>
    <row r="12" spans="2:21" x14ac:dyDescent="0.3">
      <c r="B12" t="s">
        <v>93</v>
      </c>
      <c r="H12" t="s">
        <v>139</v>
      </c>
      <c r="I12" t="s">
        <v>147</v>
      </c>
      <c r="K12" t="s">
        <v>87</v>
      </c>
      <c r="M12" s="2">
        <v>200</v>
      </c>
      <c r="S12" t="s">
        <v>52</v>
      </c>
      <c r="U12" s="2">
        <v>300</v>
      </c>
    </row>
    <row r="13" spans="2:21" x14ac:dyDescent="0.3">
      <c r="C13" t="s">
        <v>64</v>
      </c>
      <c r="E13" s="2">
        <f>12*63</f>
        <v>756</v>
      </c>
      <c r="H13" s="2">
        <f>SUM(M11:M15)</f>
        <v>650</v>
      </c>
      <c r="I13" s="2">
        <f>H13-300</f>
        <v>350</v>
      </c>
      <c r="K13" t="s">
        <v>73</v>
      </c>
      <c r="M13" s="2">
        <v>300</v>
      </c>
      <c r="S13" t="s">
        <v>105</v>
      </c>
      <c r="T13" s="4">
        <v>0.3</v>
      </c>
      <c r="U13" s="2">
        <v>1500</v>
      </c>
    </row>
    <row r="14" spans="2:21" x14ac:dyDescent="0.3">
      <c r="B14" t="s">
        <v>65</v>
      </c>
      <c r="E14" s="3"/>
      <c r="K14" t="s">
        <v>30</v>
      </c>
      <c r="M14" s="2">
        <v>50</v>
      </c>
      <c r="R14" t="s">
        <v>53</v>
      </c>
    </row>
    <row r="15" spans="2:21" x14ac:dyDescent="0.3">
      <c r="B15" t="s">
        <v>66</v>
      </c>
      <c r="E15" s="3"/>
      <c r="K15" t="s">
        <v>72</v>
      </c>
      <c r="M15" s="2">
        <v>0</v>
      </c>
      <c r="S15" t="s">
        <v>49</v>
      </c>
      <c r="U15" s="2">
        <v>100</v>
      </c>
    </row>
    <row r="16" spans="2:21" x14ac:dyDescent="0.3">
      <c r="B16" t="s">
        <v>67</v>
      </c>
      <c r="E16" s="2">
        <v>90000</v>
      </c>
      <c r="H16" t="s">
        <v>138</v>
      </c>
      <c r="I16" t="s">
        <v>148</v>
      </c>
      <c r="K16" t="s">
        <v>18</v>
      </c>
      <c r="M16" s="2">
        <v>300</v>
      </c>
      <c r="N16" t="s">
        <v>98</v>
      </c>
      <c r="S16" t="s">
        <v>50</v>
      </c>
      <c r="U16" s="2">
        <v>500</v>
      </c>
    </row>
    <row r="17" spans="2:21" x14ac:dyDescent="0.3">
      <c r="B17" t="s">
        <v>70</v>
      </c>
      <c r="E17" s="2">
        <f>40000</f>
        <v>40000</v>
      </c>
      <c r="H17" s="2">
        <f>SUM(M16:M17)</f>
        <v>600</v>
      </c>
      <c r="I17" s="2">
        <f>H17+200</f>
        <v>800</v>
      </c>
      <c r="K17" t="s">
        <v>35</v>
      </c>
      <c r="M17" s="2">
        <v>300</v>
      </c>
      <c r="N17" t="s">
        <v>98</v>
      </c>
      <c r="S17" t="s">
        <v>55</v>
      </c>
      <c r="U17" s="2">
        <v>300</v>
      </c>
    </row>
    <row r="18" spans="2:21" x14ac:dyDescent="0.3">
      <c r="B18" t="s">
        <v>99</v>
      </c>
      <c r="E18" s="2">
        <v>30000</v>
      </c>
      <c r="K18" t="s">
        <v>71</v>
      </c>
      <c r="M18" t="s">
        <v>95</v>
      </c>
      <c r="S18" t="s">
        <v>105</v>
      </c>
      <c r="T18" s="4">
        <v>0.15</v>
      </c>
      <c r="U18" s="2">
        <v>750</v>
      </c>
    </row>
    <row r="19" spans="2:21" x14ac:dyDescent="0.3">
      <c r="J19" t="s">
        <v>97</v>
      </c>
    </row>
    <row r="20" spans="2:21" x14ac:dyDescent="0.3">
      <c r="K20" t="s">
        <v>54</v>
      </c>
      <c r="M20" s="2">
        <v>60000</v>
      </c>
    </row>
    <row r="21" spans="2:21" x14ac:dyDescent="0.3">
      <c r="K21" t="s">
        <v>88</v>
      </c>
      <c r="M21" s="2">
        <v>60000</v>
      </c>
    </row>
    <row r="23" spans="2:21" x14ac:dyDescent="0.3">
      <c r="J23" s="6">
        <f>(H13+H17)/100</f>
        <v>12.5</v>
      </c>
    </row>
    <row r="24" spans="2:21" x14ac:dyDescent="0.3">
      <c r="H24" t="s">
        <v>237</v>
      </c>
      <c r="J24" s="6">
        <f>(I13+I17)/100</f>
        <v>11.5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1A23A00-07CE-4A40-972F-2B42AF0EA81D}">
  <dimension ref="B4:J30"/>
  <sheetViews>
    <sheetView tabSelected="1" workbookViewId="0">
      <selection activeCell="E18" sqref="E18"/>
    </sheetView>
  </sheetViews>
  <sheetFormatPr defaultRowHeight="14.4" x14ac:dyDescent="0.3"/>
  <cols>
    <col min="3" max="3" width="12.33203125" customWidth="1"/>
    <col min="4" max="4" width="13" customWidth="1"/>
    <col min="5" max="5" width="13.5546875" customWidth="1"/>
    <col min="6" max="6" width="14.109375" customWidth="1"/>
    <col min="7" max="7" width="14.33203125" customWidth="1"/>
    <col min="8" max="8" width="13.77734375" customWidth="1"/>
    <col min="9" max="9" width="13.6640625" customWidth="1"/>
  </cols>
  <sheetData>
    <row r="4" spans="2:7" x14ac:dyDescent="0.3">
      <c r="B4" t="s">
        <v>16</v>
      </c>
      <c r="E4" t="s">
        <v>248</v>
      </c>
      <c r="F4" t="s">
        <v>114</v>
      </c>
      <c r="G4" t="s">
        <v>115</v>
      </c>
    </row>
    <row r="5" spans="2:7" x14ac:dyDescent="0.3">
      <c r="C5" t="s">
        <v>107</v>
      </c>
      <c r="E5" s="2">
        <v>50</v>
      </c>
    </row>
    <row r="6" spans="2:7" x14ac:dyDescent="0.3">
      <c r="C6" t="s">
        <v>109</v>
      </c>
      <c r="E6">
        <v>2000000</v>
      </c>
      <c r="F6" s="4">
        <v>0.1</v>
      </c>
      <c r="G6">
        <f>E6*F6</f>
        <v>200000</v>
      </c>
    </row>
    <row r="7" spans="2:7" x14ac:dyDescent="0.3">
      <c r="C7" t="s">
        <v>110</v>
      </c>
      <c r="E7">
        <v>3000000</v>
      </c>
      <c r="F7" s="4">
        <v>0.1</v>
      </c>
      <c r="G7">
        <f t="shared" ref="G7:G11" si="0">E7*F7</f>
        <v>300000</v>
      </c>
    </row>
    <row r="8" spans="2:7" x14ac:dyDescent="0.3">
      <c r="C8" t="s">
        <v>111</v>
      </c>
      <c r="E8">
        <v>3500000</v>
      </c>
      <c r="F8" s="4">
        <v>0.4</v>
      </c>
      <c r="G8">
        <f t="shared" si="0"/>
        <v>1400000</v>
      </c>
    </row>
    <row r="9" spans="2:7" x14ac:dyDescent="0.3">
      <c r="C9" t="s">
        <v>112</v>
      </c>
      <c r="E9">
        <v>100000000</v>
      </c>
      <c r="F9" s="4">
        <v>0.01</v>
      </c>
      <c r="G9">
        <f t="shared" si="0"/>
        <v>1000000</v>
      </c>
    </row>
    <row r="10" spans="2:7" x14ac:dyDescent="0.3">
      <c r="C10" t="s">
        <v>113</v>
      </c>
      <c r="E10">
        <v>6000000</v>
      </c>
      <c r="F10" s="4">
        <v>0.05</v>
      </c>
      <c r="G10">
        <f t="shared" si="0"/>
        <v>300000</v>
      </c>
    </row>
    <row r="11" spans="2:7" x14ac:dyDescent="0.3">
      <c r="C11" t="s">
        <v>84</v>
      </c>
      <c r="E11">
        <v>50000000</v>
      </c>
      <c r="F11" s="4">
        <v>0.02</v>
      </c>
      <c r="G11">
        <f t="shared" si="0"/>
        <v>1000000</v>
      </c>
    </row>
    <row r="12" spans="2:7" x14ac:dyDescent="0.3">
      <c r="C12" t="s">
        <v>77</v>
      </c>
      <c r="E12">
        <v>3000000</v>
      </c>
      <c r="F12" s="4">
        <v>0.15</v>
      </c>
      <c r="G12">
        <f>E12*F12</f>
        <v>450000</v>
      </c>
    </row>
    <row r="13" spans="2:7" x14ac:dyDescent="0.3">
      <c r="C13" t="s">
        <v>76</v>
      </c>
      <c r="E13">
        <v>13000000</v>
      </c>
      <c r="F13" s="4">
        <v>0.1</v>
      </c>
      <c r="G13">
        <f>E13*F13</f>
        <v>1300000</v>
      </c>
    </row>
    <row r="15" spans="2:7" x14ac:dyDescent="0.3">
      <c r="E15" t="s">
        <v>117</v>
      </c>
      <c r="G15">
        <f>SUM(G6:G13)</f>
        <v>5950000</v>
      </c>
    </row>
    <row r="16" spans="2:7" x14ac:dyDescent="0.3">
      <c r="E16" t="s">
        <v>108</v>
      </c>
      <c r="G16" s="2">
        <f>E5*G15</f>
        <v>297500000</v>
      </c>
    </row>
    <row r="17" spans="2:10" x14ac:dyDescent="0.3">
      <c r="E17" t="s">
        <v>258</v>
      </c>
      <c r="G17" s="5">
        <v>1.0629999999999999</v>
      </c>
    </row>
    <row r="19" spans="2:10" x14ac:dyDescent="0.3">
      <c r="C19" t="s">
        <v>118</v>
      </c>
      <c r="D19">
        <v>0</v>
      </c>
      <c r="E19">
        <v>1</v>
      </c>
      <c r="F19">
        <v>2</v>
      </c>
      <c r="G19">
        <v>3</v>
      </c>
      <c r="H19">
        <v>4</v>
      </c>
      <c r="I19">
        <v>5</v>
      </c>
    </row>
    <row r="20" spans="2:10" x14ac:dyDescent="0.3">
      <c r="C20" t="s">
        <v>108</v>
      </c>
      <c r="D20" s="2">
        <f>G16</f>
        <v>297500000</v>
      </c>
      <c r="E20" s="2">
        <f>D20*$G$17</f>
        <v>316242500</v>
      </c>
      <c r="F20" s="2">
        <f t="shared" ref="F20:I20" si="1">E20*$G$17</f>
        <v>336165777.5</v>
      </c>
      <c r="G20" s="2">
        <f t="shared" si="1"/>
        <v>357344221.48249996</v>
      </c>
      <c r="H20" s="2">
        <f t="shared" si="1"/>
        <v>379856907.43589741</v>
      </c>
      <c r="I20" s="2">
        <f t="shared" si="1"/>
        <v>403787892.60435891</v>
      </c>
      <c r="J20" s="2"/>
    </row>
    <row r="21" spans="2:10" x14ac:dyDescent="0.3">
      <c r="C21" t="s">
        <v>249</v>
      </c>
      <c r="D21">
        <f>D20/$E$5</f>
        <v>5950000</v>
      </c>
      <c r="E21" s="26">
        <f>E20/$E$5</f>
        <v>6324850</v>
      </c>
      <c r="F21" s="26">
        <f t="shared" ref="F21:I21" si="2">F20/$E$5</f>
        <v>6723315.5499999998</v>
      </c>
      <c r="G21" s="26">
        <f t="shared" si="2"/>
        <v>7146884.4296499994</v>
      </c>
      <c r="H21" s="26">
        <f t="shared" si="2"/>
        <v>7597138.1487179482</v>
      </c>
      <c r="I21" s="26">
        <f t="shared" si="2"/>
        <v>8075757.8520871783</v>
      </c>
    </row>
    <row r="22" spans="2:10" x14ac:dyDescent="0.3">
      <c r="C22" t="s">
        <v>106</v>
      </c>
      <c r="D22" s="4">
        <v>0</v>
      </c>
      <c r="E22" s="5">
        <v>2.0000000000000001E-4</v>
      </c>
      <c r="F22" s="5">
        <v>1E-3</v>
      </c>
      <c r="G22" s="5">
        <v>2.5000000000000001E-3</v>
      </c>
      <c r="H22" s="5">
        <v>5.0000000000000001E-3</v>
      </c>
      <c r="I22" s="5">
        <v>8.5000000000000006E-3</v>
      </c>
    </row>
    <row r="23" spans="2:10" x14ac:dyDescent="0.3">
      <c r="C23" t="s">
        <v>141</v>
      </c>
      <c r="D23">
        <v>0</v>
      </c>
      <c r="E23" s="26">
        <f>E21*E22</f>
        <v>1264.97</v>
      </c>
      <c r="F23" s="26">
        <f t="shared" ref="F23:I23" si="3">F21*F22</f>
        <v>6723.3155500000003</v>
      </c>
      <c r="G23" s="26">
        <f t="shared" si="3"/>
        <v>17867.211074125</v>
      </c>
      <c r="H23" s="26">
        <f t="shared" si="3"/>
        <v>37985.690743589745</v>
      </c>
      <c r="I23" s="26">
        <f t="shared" si="3"/>
        <v>68643.941742741023</v>
      </c>
    </row>
    <row r="24" spans="2:10" x14ac:dyDescent="0.3">
      <c r="C24" t="s">
        <v>119</v>
      </c>
      <c r="D24" s="2">
        <f>G16*D22</f>
        <v>0</v>
      </c>
      <c r="E24" s="6">
        <f>E20*E22</f>
        <v>63248.5</v>
      </c>
      <c r="F24" s="6">
        <f t="shared" ref="F24:I24" si="4">F20*F22</f>
        <v>336165.77750000003</v>
      </c>
      <c r="G24" s="6">
        <f t="shared" si="4"/>
        <v>893360.55370624992</v>
      </c>
      <c r="H24" s="6">
        <f t="shared" si="4"/>
        <v>1899284.5371794871</v>
      </c>
      <c r="I24" s="6">
        <f t="shared" si="4"/>
        <v>3432197.0871370509</v>
      </c>
    </row>
    <row r="26" spans="2:10" x14ac:dyDescent="0.3">
      <c r="B26" t="s">
        <v>68</v>
      </c>
    </row>
    <row r="30" spans="2:10" x14ac:dyDescent="0.3">
      <c r="B30" t="s">
        <v>69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6A91D50-0EDD-4C13-8430-4692E7CD2041}">
  <dimension ref="B2:L27"/>
  <sheetViews>
    <sheetView workbookViewId="0">
      <selection activeCell="B10" sqref="B10"/>
    </sheetView>
  </sheetViews>
  <sheetFormatPr defaultRowHeight="14.4" x14ac:dyDescent="0.3"/>
  <sheetData>
    <row r="2" spans="2:12" x14ac:dyDescent="0.3">
      <c r="B2" t="s">
        <v>12</v>
      </c>
    </row>
    <row r="3" spans="2:12" x14ac:dyDescent="0.3">
      <c r="B3" t="s">
        <v>13</v>
      </c>
    </row>
    <row r="4" spans="2:12" x14ac:dyDescent="0.3">
      <c r="B4" t="s">
        <v>15</v>
      </c>
    </row>
    <row r="5" spans="2:12" x14ac:dyDescent="0.3">
      <c r="B5" t="s">
        <v>14</v>
      </c>
    </row>
    <row r="8" spans="2:12" x14ac:dyDescent="0.3">
      <c r="C8" t="s">
        <v>122</v>
      </c>
    </row>
    <row r="9" spans="2:12" x14ac:dyDescent="0.3">
      <c r="D9" t="s">
        <v>144</v>
      </c>
    </row>
    <row r="10" spans="2:12" x14ac:dyDescent="0.3">
      <c r="D10" t="s">
        <v>79</v>
      </c>
    </row>
    <row r="11" spans="2:12" x14ac:dyDescent="0.3">
      <c r="D11" t="s">
        <v>137</v>
      </c>
    </row>
    <row r="12" spans="2:12" x14ac:dyDescent="0.3">
      <c r="D12" t="s">
        <v>121</v>
      </c>
    </row>
    <row r="13" spans="2:12" x14ac:dyDescent="0.3">
      <c r="D13" t="s">
        <v>155</v>
      </c>
    </row>
    <row r="15" spans="2:12" x14ac:dyDescent="0.3">
      <c r="C15" t="s">
        <v>125</v>
      </c>
      <c r="J15" t="s">
        <v>126</v>
      </c>
      <c r="L15" t="s">
        <v>89</v>
      </c>
    </row>
    <row r="16" spans="2:12" x14ac:dyDescent="0.3">
      <c r="D16" t="s">
        <v>123</v>
      </c>
      <c r="J16" t="s">
        <v>123</v>
      </c>
    </row>
    <row r="17" spans="4:10" x14ac:dyDescent="0.3">
      <c r="D17" t="s">
        <v>74</v>
      </c>
      <c r="J17" t="s">
        <v>127</v>
      </c>
    </row>
    <row r="18" spans="4:10" x14ac:dyDescent="0.3">
      <c r="D18" t="s">
        <v>75</v>
      </c>
      <c r="J18" t="s">
        <v>128</v>
      </c>
    </row>
    <row r="19" spans="4:10" x14ac:dyDescent="0.3">
      <c r="D19" t="s">
        <v>76</v>
      </c>
      <c r="J19" t="s">
        <v>129</v>
      </c>
    </row>
    <row r="20" spans="4:10" x14ac:dyDescent="0.3">
      <c r="D20" t="s">
        <v>77</v>
      </c>
      <c r="J20" t="s">
        <v>130</v>
      </c>
    </row>
    <row r="21" spans="4:10" x14ac:dyDescent="0.3">
      <c r="D21" t="s">
        <v>78</v>
      </c>
      <c r="J21" t="s">
        <v>131</v>
      </c>
    </row>
    <row r="22" spans="4:10" x14ac:dyDescent="0.3">
      <c r="D22" t="s">
        <v>80</v>
      </c>
      <c r="J22" t="s">
        <v>132</v>
      </c>
    </row>
    <row r="23" spans="4:10" x14ac:dyDescent="0.3">
      <c r="D23" t="s">
        <v>81</v>
      </c>
      <c r="J23" t="s">
        <v>133</v>
      </c>
    </row>
    <row r="24" spans="4:10" x14ac:dyDescent="0.3">
      <c r="D24" t="s">
        <v>82</v>
      </c>
      <c r="J24" t="s">
        <v>134</v>
      </c>
    </row>
    <row r="25" spans="4:10" x14ac:dyDescent="0.3">
      <c r="D25" t="s">
        <v>83</v>
      </c>
    </row>
    <row r="26" spans="4:10" x14ac:dyDescent="0.3">
      <c r="D26" t="s">
        <v>84</v>
      </c>
    </row>
    <row r="27" spans="4:10" x14ac:dyDescent="0.3">
      <c r="D27" t="s">
        <v>85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6BD40F0-A1C9-4282-9E75-F5D189A9D9BC}">
  <dimension ref="A1:I39"/>
  <sheetViews>
    <sheetView topLeftCell="A13" workbookViewId="0">
      <selection activeCell="B5" sqref="B5:I32"/>
    </sheetView>
  </sheetViews>
  <sheetFormatPr defaultRowHeight="14.4" x14ac:dyDescent="0.3"/>
  <cols>
    <col min="3" max="3" width="17.88671875" customWidth="1"/>
    <col min="5" max="7" width="12.109375" bestFit="1" customWidth="1"/>
    <col min="8" max="8" width="13.44140625" customWidth="1"/>
    <col min="9" max="9" width="13.6640625" customWidth="1"/>
  </cols>
  <sheetData>
    <row r="1" spans="1:9" x14ac:dyDescent="0.3">
      <c r="A1" t="s">
        <v>250</v>
      </c>
    </row>
    <row r="2" spans="1:9" x14ac:dyDescent="0.3">
      <c r="A2" t="s">
        <v>251</v>
      </c>
      <c r="B2" t="s">
        <v>10</v>
      </c>
    </row>
    <row r="3" spans="1:9" x14ac:dyDescent="0.3">
      <c r="A3" t="s">
        <v>253</v>
      </c>
      <c r="E3" t="s">
        <v>143</v>
      </c>
    </row>
    <row r="4" spans="1:9" x14ac:dyDescent="0.3">
      <c r="A4" t="s">
        <v>255</v>
      </c>
      <c r="D4" t="s">
        <v>0</v>
      </c>
      <c r="E4" t="s">
        <v>142</v>
      </c>
      <c r="F4" t="s">
        <v>146</v>
      </c>
      <c r="H4" t="s">
        <v>157</v>
      </c>
    </row>
    <row r="5" spans="1:9" x14ac:dyDescent="0.3">
      <c r="B5" t="s">
        <v>118</v>
      </c>
      <c r="D5">
        <v>0</v>
      </c>
      <c r="E5">
        <v>1</v>
      </c>
      <c r="F5">
        <v>2</v>
      </c>
      <c r="G5">
        <v>3</v>
      </c>
      <c r="H5">
        <v>4</v>
      </c>
      <c r="I5">
        <v>5</v>
      </c>
    </row>
    <row r="6" spans="1:9" x14ac:dyDescent="0.3">
      <c r="B6" t="s">
        <v>120</v>
      </c>
    </row>
    <row r="7" spans="1:9" x14ac:dyDescent="0.3">
      <c r="A7" t="s">
        <v>252</v>
      </c>
      <c r="C7" t="s">
        <v>124</v>
      </c>
      <c r="D7" s="2">
        <f>'Development Cost'!L27</f>
        <v>15250</v>
      </c>
      <c r="E7" s="2">
        <v>10000</v>
      </c>
      <c r="F7" s="2">
        <v>3000</v>
      </c>
      <c r="G7" s="2">
        <v>2000</v>
      </c>
      <c r="H7" s="2">
        <v>10000</v>
      </c>
      <c r="I7" s="2">
        <v>10000</v>
      </c>
    </row>
    <row r="8" spans="1:9" x14ac:dyDescent="0.3">
      <c r="A8" t="s">
        <v>252</v>
      </c>
      <c r="C8" t="s">
        <v>7</v>
      </c>
      <c r="D8" s="2">
        <v>0</v>
      </c>
      <c r="E8" s="2">
        <v>18000</v>
      </c>
      <c r="F8" s="2">
        <f>E8</f>
        <v>18000</v>
      </c>
      <c r="G8" s="2">
        <v>26000</v>
      </c>
      <c r="H8" s="2">
        <f t="shared" ref="H8:I8" si="0">G8</f>
        <v>26000</v>
      </c>
      <c r="I8" s="2">
        <f t="shared" si="0"/>
        <v>26000</v>
      </c>
    </row>
    <row r="9" spans="1:9" x14ac:dyDescent="0.3">
      <c r="A9" t="s">
        <v>254</v>
      </c>
      <c r="C9" t="s">
        <v>59</v>
      </c>
      <c r="D9" s="2">
        <v>0</v>
      </c>
      <c r="E9" s="2">
        <f>'Future Costs'!E7</f>
        <v>4860</v>
      </c>
      <c r="F9" s="2">
        <v>5000</v>
      </c>
      <c r="G9" s="2">
        <v>10000</v>
      </c>
      <c r="H9" s="2">
        <v>12000</v>
      </c>
      <c r="I9" s="2">
        <v>14000</v>
      </c>
    </row>
    <row r="10" spans="1:9" x14ac:dyDescent="0.3">
      <c r="A10" t="s">
        <v>252</v>
      </c>
      <c r="C10" t="s">
        <v>63</v>
      </c>
      <c r="D10" s="2">
        <v>0</v>
      </c>
      <c r="E10" s="2">
        <f>'Future Costs'!E13</f>
        <v>756</v>
      </c>
      <c r="F10" s="2">
        <f>E10</f>
        <v>756</v>
      </c>
      <c r="G10" s="2">
        <v>900</v>
      </c>
      <c r="H10" s="2">
        <f t="shared" ref="H10:I10" si="1">G10</f>
        <v>900</v>
      </c>
      <c r="I10" s="2">
        <f t="shared" si="1"/>
        <v>900</v>
      </c>
    </row>
    <row r="11" spans="1:9" x14ac:dyDescent="0.3">
      <c r="A11" t="s">
        <v>256</v>
      </c>
      <c r="C11" t="s">
        <v>145</v>
      </c>
      <c r="D11" s="2">
        <v>0</v>
      </c>
      <c r="E11" s="2">
        <v>15000</v>
      </c>
      <c r="F11" s="2">
        <v>25000</v>
      </c>
      <c r="G11" s="2">
        <v>45000</v>
      </c>
      <c r="H11" s="2">
        <v>60000</v>
      </c>
      <c r="I11" s="2">
        <v>80000</v>
      </c>
    </row>
    <row r="12" spans="1:9" x14ac:dyDescent="0.3">
      <c r="A12" t="s">
        <v>256</v>
      </c>
      <c r="C12" t="s">
        <v>70</v>
      </c>
      <c r="D12" s="2">
        <v>0</v>
      </c>
      <c r="E12" s="2">
        <v>5000</v>
      </c>
      <c r="F12" s="2">
        <v>10000</v>
      </c>
      <c r="G12" s="2">
        <v>40000</v>
      </c>
      <c r="H12" s="2">
        <v>55000</v>
      </c>
      <c r="I12" s="2">
        <v>75000</v>
      </c>
    </row>
    <row r="13" spans="1:9" x14ac:dyDescent="0.3">
      <c r="A13" t="s">
        <v>257</v>
      </c>
      <c r="C13" t="s">
        <v>135</v>
      </c>
      <c r="D13" s="2">
        <v>0</v>
      </c>
      <c r="E13" s="2">
        <v>3000</v>
      </c>
      <c r="F13" s="2">
        <v>1000</v>
      </c>
      <c r="G13" s="2">
        <v>1000</v>
      </c>
      <c r="H13" s="2">
        <v>1000</v>
      </c>
      <c r="I13" s="2">
        <v>1000</v>
      </c>
    </row>
    <row r="14" spans="1:9" x14ac:dyDescent="0.3">
      <c r="A14" t="s">
        <v>252</v>
      </c>
      <c r="C14" t="s">
        <v>44</v>
      </c>
      <c r="D14" s="2">
        <v>0</v>
      </c>
      <c r="E14" s="2">
        <f>'Future Costs'!M5</f>
        <v>3200</v>
      </c>
      <c r="F14" s="2">
        <v>1000</v>
      </c>
      <c r="G14" s="2">
        <v>8000</v>
      </c>
      <c r="H14" s="2">
        <v>1000</v>
      </c>
      <c r="I14" s="2">
        <v>1000</v>
      </c>
    </row>
    <row r="15" spans="1:9" x14ac:dyDescent="0.3">
      <c r="C15" t="s">
        <v>4</v>
      </c>
      <c r="D15" s="2">
        <v>0</v>
      </c>
      <c r="E15" s="2">
        <f>'Future Costs'!$H$13*'Revenue Streams'!E23/100</f>
        <v>8222.3050000000003</v>
      </c>
      <c r="F15" s="2">
        <f>'Future Costs'!$I$13*'Revenue Streams'!F23/100</f>
        <v>23531.604424999998</v>
      </c>
      <c r="G15" s="2">
        <f>'Future Costs'!$I$13*'Revenue Streams'!G23/100</f>
        <v>62535.238759437503</v>
      </c>
      <c r="H15" s="2">
        <f>'Future Costs'!$I$13*'Revenue Streams'!H23/100</f>
        <v>132949.91760256412</v>
      </c>
      <c r="I15" s="2">
        <f>'Future Costs'!$I$13*'Revenue Streams'!I23/100</f>
        <v>240253.79609959357</v>
      </c>
    </row>
    <row r="16" spans="1:9" x14ac:dyDescent="0.3">
      <c r="C16" t="s">
        <v>136</v>
      </c>
      <c r="D16" s="2">
        <v>0</v>
      </c>
      <c r="E16" s="2">
        <f>'Future Costs'!$H$17*'Revenue Streams'!E23/100</f>
        <v>7589.82</v>
      </c>
      <c r="F16" s="2">
        <f>'Future Costs'!$I$17*'Revenue Streams'!F23/100</f>
        <v>53786.524400000002</v>
      </c>
      <c r="G16" s="2">
        <f>'Future Costs'!$I$17*'Revenue Streams'!G23/100</f>
        <v>142937.688593</v>
      </c>
      <c r="H16" s="2">
        <f>'Future Costs'!$I$17*'Revenue Streams'!H23/100</f>
        <v>303885.52594871796</v>
      </c>
      <c r="I16" s="2">
        <f>'Future Costs'!$I$17*'Revenue Streams'!I23/100</f>
        <v>549151.53394192818</v>
      </c>
    </row>
    <row r="17" spans="1:9" x14ac:dyDescent="0.3">
      <c r="C17" t="s">
        <v>242</v>
      </c>
      <c r="D17" s="2">
        <v>0</v>
      </c>
      <c r="E17" s="2">
        <v>15000</v>
      </c>
      <c r="F17" s="2">
        <v>30000</v>
      </c>
      <c r="G17" s="2">
        <v>40000</v>
      </c>
      <c r="H17" s="2">
        <v>80000</v>
      </c>
      <c r="I17" s="2">
        <v>100000</v>
      </c>
    </row>
    <row r="18" spans="1:9" x14ac:dyDescent="0.3">
      <c r="A18" t="s">
        <v>257</v>
      </c>
      <c r="C18" t="s">
        <v>245</v>
      </c>
      <c r="D18" s="2">
        <v>0</v>
      </c>
      <c r="E18" s="2">
        <v>2000</v>
      </c>
      <c r="F18" s="2">
        <v>10000</v>
      </c>
      <c r="G18" s="2">
        <v>2000</v>
      </c>
      <c r="H18" s="2">
        <v>10000</v>
      </c>
      <c r="I18" s="2">
        <v>10000</v>
      </c>
    </row>
    <row r="19" spans="1:9" x14ac:dyDescent="0.3">
      <c r="A19" t="s">
        <v>257</v>
      </c>
      <c r="C19" t="s">
        <v>241</v>
      </c>
      <c r="D19" s="2">
        <v>0</v>
      </c>
      <c r="E19" s="2">
        <v>5000</v>
      </c>
      <c r="F19" s="2">
        <v>5000</v>
      </c>
      <c r="G19" s="2">
        <v>5000</v>
      </c>
      <c r="H19" s="2">
        <v>5000</v>
      </c>
      <c r="I19" s="2">
        <v>5000</v>
      </c>
    </row>
    <row r="20" spans="1:9" x14ac:dyDescent="0.3">
      <c r="A20" t="s">
        <v>256</v>
      </c>
      <c r="C20" t="s">
        <v>244</v>
      </c>
      <c r="D20" s="2">
        <v>0</v>
      </c>
      <c r="E20" s="2">
        <v>6000</v>
      </c>
      <c r="F20" s="2">
        <v>3000</v>
      </c>
      <c r="G20" s="2">
        <v>0</v>
      </c>
      <c r="H20" s="2">
        <v>0</v>
      </c>
      <c r="I20" s="2">
        <v>0</v>
      </c>
    </row>
    <row r="21" spans="1:9" x14ac:dyDescent="0.3">
      <c r="A21" t="s">
        <v>256</v>
      </c>
      <c r="C21" t="s">
        <v>243</v>
      </c>
      <c r="D21" s="2">
        <v>0</v>
      </c>
      <c r="E21" s="2">
        <v>10000</v>
      </c>
      <c r="F21" s="2">
        <v>60000</v>
      </c>
      <c r="G21" s="2">
        <v>60000</v>
      </c>
      <c r="H21" s="2">
        <v>20000</v>
      </c>
      <c r="I21" s="2">
        <v>0</v>
      </c>
    </row>
    <row r="22" spans="1:9" x14ac:dyDescent="0.3">
      <c r="A22" t="s">
        <v>257</v>
      </c>
      <c r="C22" t="s">
        <v>247</v>
      </c>
      <c r="D22" s="2">
        <v>0</v>
      </c>
      <c r="E22" s="2">
        <v>120000</v>
      </c>
      <c r="F22" s="2">
        <v>150000</v>
      </c>
      <c r="G22" s="2">
        <v>180000</v>
      </c>
      <c r="H22" s="2">
        <v>200000</v>
      </c>
      <c r="I22" s="2">
        <v>200000</v>
      </c>
    </row>
    <row r="23" spans="1:9" x14ac:dyDescent="0.3">
      <c r="A23" t="s">
        <v>256</v>
      </c>
      <c r="C23" t="s">
        <v>246</v>
      </c>
      <c r="D23" s="2">
        <v>0</v>
      </c>
      <c r="E23" s="2">
        <v>30000</v>
      </c>
      <c r="F23" s="2">
        <v>60000</v>
      </c>
      <c r="G23" s="2">
        <v>120000</v>
      </c>
      <c r="H23" s="2">
        <v>120000</v>
      </c>
      <c r="I23" s="2">
        <v>180000</v>
      </c>
    </row>
    <row r="24" spans="1:9" x14ac:dyDescent="0.3">
      <c r="D24" s="2"/>
      <c r="E24" s="2"/>
    </row>
    <row r="25" spans="1:9" x14ac:dyDescent="0.3">
      <c r="C25" t="s">
        <v>116</v>
      </c>
      <c r="D25" s="2">
        <f>SUM(D7:D24)</f>
        <v>15250</v>
      </c>
      <c r="E25" s="2">
        <f>SUM(E7:E24)</f>
        <v>263628.125</v>
      </c>
      <c r="F25" s="2">
        <f>SUM(F7:F24)</f>
        <v>459074.12882500002</v>
      </c>
      <c r="G25" s="2">
        <f t="shared" ref="G25:I25" si="2">SUM(G7:G24)</f>
        <v>745372.92735243752</v>
      </c>
      <c r="H25" s="2">
        <f t="shared" si="2"/>
        <v>1037735.443551282</v>
      </c>
      <c r="I25" s="2">
        <f t="shared" si="2"/>
        <v>1492305.3300415217</v>
      </c>
    </row>
    <row r="27" spans="1:9" x14ac:dyDescent="0.3">
      <c r="B27" t="s">
        <v>119</v>
      </c>
    </row>
    <row r="28" spans="1:9" x14ac:dyDescent="0.3">
      <c r="C28" t="s">
        <v>16</v>
      </c>
      <c r="D28" s="2">
        <v>0</v>
      </c>
      <c r="E28" s="6">
        <f>'Revenue Streams'!E24</f>
        <v>63248.5</v>
      </c>
      <c r="F28" s="6">
        <f>'Revenue Streams'!F24</f>
        <v>336165.77750000003</v>
      </c>
      <c r="G28" s="6">
        <f>'Revenue Streams'!G24</f>
        <v>893360.55370624992</v>
      </c>
      <c r="H28" s="6">
        <f>'Revenue Streams'!H24</f>
        <v>1899284.5371794871</v>
      </c>
      <c r="I28" s="6">
        <f>'Revenue Streams'!I24</f>
        <v>3432197.0871370509</v>
      </c>
    </row>
    <row r="29" spans="1:9" x14ac:dyDescent="0.3">
      <c r="C29" t="s">
        <v>156</v>
      </c>
      <c r="D29" s="2">
        <v>0</v>
      </c>
      <c r="E29" s="6">
        <f>E28*0.8</f>
        <v>50598.8</v>
      </c>
      <c r="F29" s="6">
        <f t="shared" ref="F29:I29" si="3">F28*0.8</f>
        <v>268932.62200000003</v>
      </c>
      <c r="G29" s="6">
        <f t="shared" si="3"/>
        <v>714688.44296499994</v>
      </c>
      <c r="H29" s="6">
        <f t="shared" si="3"/>
        <v>1519427.6297435898</v>
      </c>
      <c r="I29" s="6">
        <f t="shared" si="3"/>
        <v>2745757.669709641</v>
      </c>
    </row>
    <row r="31" spans="1:9" x14ac:dyDescent="0.3">
      <c r="B31" t="s">
        <v>149</v>
      </c>
      <c r="D31" s="2">
        <f>D28-D25</f>
        <v>-15250</v>
      </c>
      <c r="E31" s="6">
        <f>E29-E25</f>
        <v>-213029.32500000001</v>
      </c>
      <c r="F31" s="6">
        <f>F29-F25</f>
        <v>-190141.50682499999</v>
      </c>
      <c r="G31" s="6">
        <f>G29-G25</f>
        <v>-30684.48438743758</v>
      </c>
      <c r="H31" s="6">
        <f>H29-H25</f>
        <v>481692.18619230774</v>
      </c>
      <c r="I31" s="6">
        <f>I29-I25</f>
        <v>1253452.3396681193</v>
      </c>
    </row>
    <row r="32" spans="1:9" x14ac:dyDescent="0.3">
      <c r="B32" t="s">
        <v>150</v>
      </c>
      <c r="D32" s="2">
        <f>D31</f>
        <v>-15250</v>
      </c>
      <c r="E32" s="6">
        <f>D32+E31</f>
        <v>-228279.32500000001</v>
      </c>
      <c r="F32" s="6">
        <f>E32+F31</f>
        <v>-418420.831825</v>
      </c>
      <c r="G32" s="6">
        <f>F32+G31</f>
        <v>-449105.31621243758</v>
      </c>
      <c r="H32" s="6">
        <f>G32+H31</f>
        <v>32586.869979870156</v>
      </c>
      <c r="I32" s="6">
        <f>H32+I31</f>
        <v>1286039.2096479894</v>
      </c>
    </row>
    <row r="35" spans="2:4" x14ac:dyDescent="0.3">
      <c r="B35" t="s">
        <v>153</v>
      </c>
    </row>
    <row r="36" spans="2:4" x14ac:dyDescent="0.3">
      <c r="C36" t="s">
        <v>151</v>
      </c>
      <c r="D36" s="2">
        <v>10000</v>
      </c>
    </row>
    <row r="37" spans="2:4" x14ac:dyDescent="0.3">
      <c r="C37" t="s">
        <v>152</v>
      </c>
      <c r="D37" s="2">
        <v>150000</v>
      </c>
    </row>
    <row r="38" spans="2:4" x14ac:dyDescent="0.3">
      <c r="C38" t="s">
        <v>154</v>
      </c>
      <c r="D38" s="2">
        <v>150000</v>
      </c>
    </row>
    <row r="39" spans="2:4" x14ac:dyDescent="0.3">
      <c r="C39" t="s">
        <v>158</v>
      </c>
      <c r="D39" s="2">
        <v>100000</v>
      </c>
    </row>
  </sheetData>
  <pageMargins left="0.7" right="0.7" top="0.75" bottom="0.75" header="0.3" footer="0.3"/>
  <drawing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00F4D5C-45C5-4B84-91A7-BD19D5B79921}">
  <dimension ref="A2:G115"/>
  <sheetViews>
    <sheetView topLeftCell="A88" workbookViewId="0">
      <selection activeCell="A86" sqref="A86:G113"/>
    </sheetView>
  </sheetViews>
  <sheetFormatPr defaultRowHeight="14.4" x14ac:dyDescent="0.3"/>
  <cols>
    <col min="1" max="1" width="23.77734375" customWidth="1"/>
    <col min="4" max="4" width="11.33203125" customWidth="1"/>
    <col min="6" max="7" width="9.77734375" customWidth="1"/>
  </cols>
  <sheetData>
    <row r="2" spans="1:7" x14ac:dyDescent="0.3">
      <c r="B2" t="s">
        <v>140</v>
      </c>
    </row>
    <row r="4" spans="1:7" x14ac:dyDescent="0.3">
      <c r="A4" s="7" t="s">
        <v>240</v>
      </c>
      <c r="B4" s="7"/>
      <c r="C4" s="7"/>
      <c r="D4" s="7"/>
      <c r="E4" s="7"/>
      <c r="F4" s="7"/>
    </row>
    <row r="5" spans="1:7" x14ac:dyDescent="0.3">
      <c r="A5" s="7"/>
      <c r="B5" s="7"/>
      <c r="C5" s="7"/>
      <c r="D5" s="7"/>
      <c r="E5" s="7"/>
      <c r="F5" s="7"/>
    </row>
    <row r="6" spans="1:7" x14ac:dyDescent="0.3">
      <c r="A6" s="8">
        <f ca="1">TODAY()</f>
        <v>44834</v>
      </c>
      <c r="B6" s="7"/>
      <c r="C6" s="7"/>
      <c r="D6" s="7"/>
      <c r="E6" s="7"/>
      <c r="F6" s="7"/>
    </row>
    <row r="7" spans="1:7" x14ac:dyDescent="0.3">
      <c r="A7" s="27" t="s">
        <v>159</v>
      </c>
      <c r="B7" s="27"/>
      <c r="C7" s="27"/>
      <c r="D7" s="27"/>
      <c r="E7" s="27"/>
      <c r="F7" s="27"/>
    </row>
    <row r="8" spans="1:7" x14ac:dyDescent="0.3">
      <c r="A8" s="9" t="s">
        <v>160</v>
      </c>
      <c r="B8" s="7"/>
      <c r="C8" s="7"/>
      <c r="D8" s="7"/>
      <c r="E8" s="7"/>
      <c r="F8" s="7"/>
    </row>
    <row r="9" spans="1:7" x14ac:dyDescent="0.3">
      <c r="A9" s="10" t="s">
        <v>161</v>
      </c>
      <c r="B9" s="7"/>
      <c r="C9" s="7"/>
      <c r="D9" s="7"/>
      <c r="E9" s="7"/>
      <c r="F9" s="7"/>
    </row>
    <row r="10" spans="1:7" x14ac:dyDescent="0.3">
      <c r="A10" s="7"/>
      <c r="B10" s="7"/>
      <c r="C10" s="7"/>
      <c r="D10" s="7"/>
      <c r="E10" s="7"/>
      <c r="F10" s="7"/>
    </row>
    <row r="11" spans="1:7" x14ac:dyDescent="0.3">
      <c r="A11" s="7"/>
      <c r="B11" s="1" t="s">
        <v>238</v>
      </c>
      <c r="C11" s="11" t="s">
        <v>162</v>
      </c>
      <c r="D11" s="11" t="s">
        <v>163</v>
      </c>
      <c r="E11" s="11" t="s">
        <v>164</v>
      </c>
      <c r="F11" s="11" t="s">
        <v>165</v>
      </c>
      <c r="G11" s="11" t="s">
        <v>166</v>
      </c>
    </row>
    <row r="12" spans="1:7" x14ac:dyDescent="0.3">
      <c r="A12" s="7" t="s">
        <v>141</v>
      </c>
      <c r="B12">
        <v>0</v>
      </c>
      <c r="C12" s="7">
        <f>'Revenue Streams'!E23</f>
        <v>1264.97</v>
      </c>
      <c r="D12" s="7">
        <f>'Revenue Streams'!F23</f>
        <v>6723.3155500000003</v>
      </c>
      <c r="E12" s="7">
        <f>'Revenue Streams'!G23</f>
        <v>17867.211074125</v>
      </c>
      <c r="F12" s="7">
        <f>'Revenue Streams'!H23</f>
        <v>37985.690743589745</v>
      </c>
      <c r="G12" s="7">
        <f>'Revenue Streams'!I23</f>
        <v>68643.941742741023</v>
      </c>
    </row>
    <row r="13" spans="1:7" x14ac:dyDescent="0.3">
      <c r="A13" s="7" t="s">
        <v>167</v>
      </c>
      <c r="B13" s="25">
        <v>50</v>
      </c>
      <c r="C13" s="12">
        <f>'Revenue Streams'!E5</f>
        <v>50</v>
      </c>
      <c r="D13" s="12">
        <f>C13</f>
        <v>50</v>
      </c>
      <c r="E13" s="12">
        <f t="shared" ref="E13:G13" si="0">D13</f>
        <v>50</v>
      </c>
      <c r="F13" s="12">
        <f t="shared" si="0"/>
        <v>50</v>
      </c>
      <c r="G13" s="12">
        <f t="shared" si="0"/>
        <v>50</v>
      </c>
    </row>
    <row r="14" spans="1:7" x14ac:dyDescent="0.3">
      <c r="A14" s="7" t="s">
        <v>168</v>
      </c>
      <c r="B14" s="25">
        <f>'Development Cost'!L4+'Development Cost'!L16</f>
        <v>105</v>
      </c>
      <c r="C14" s="12">
        <f>'Future Costs'!J24</f>
        <v>11.5</v>
      </c>
      <c r="D14" s="12">
        <f>C14</f>
        <v>11.5</v>
      </c>
      <c r="E14" s="12">
        <v>10</v>
      </c>
      <c r="F14" s="12">
        <f t="shared" ref="F14:G14" si="1">E14</f>
        <v>10</v>
      </c>
      <c r="G14" s="12">
        <f t="shared" si="1"/>
        <v>10</v>
      </c>
    </row>
    <row r="15" spans="1:7" x14ac:dyDescent="0.3">
      <c r="A15" s="7" t="s">
        <v>169</v>
      </c>
      <c r="B15" s="25">
        <f>'Development Cost'!L10+'Development Cost'!L21</f>
        <v>200</v>
      </c>
      <c r="C15" s="12">
        <v>13</v>
      </c>
      <c r="D15" s="12">
        <v>10</v>
      </c>
      <c r="E15" s="12">
        <v>8</v>
      </c>
      <c r="F15" s="12">
        <v>8</v>
      </c>
      <c r="G15" s="12">
        <v>8</v>
      </c>
    </row>
    <row r="16" spans="1:7" x14ac:dyDescent="0.3">
      <c r="A16" s="7" t="s">
        <v>170</v>
      </c>
      <c r="B16" s="25">
        <v>0</v>
      </c>
      <c r="C16" s="12">
        <v>1.1499999999999999</v>
      </c>
      <c r="D16" s="12">
        <f>C16</f>
        <v>1.1499999999999999</v>
      </c>
      <c r="E16" s="12">
        <f t="shared" ref="E16:G16" si="2">D16</f>
        <v>1.1499999999999999</v>
      </c>
      <c r="F16" s="12">
        <f t="shared" si="2"/>
        <v>1.1499999999999999</v>
      </c>
      <c r="G16" s="12">
        <f t="shared" si="2"/>
        <v>1.1499999999999999</v>
      </c>
    </row>
    <row r="17" spans="1:7" x14ac:dyDescent="0.3">
      <c r="A17" s="13" t="s">
        <v>171</v>
      </c>
      <c r="B17" s="25">
        <v>0</v>
      </c>
      <c r="C17" s="7">
        <f>C62</f>
        <v>640</v>
      </c>
      <c r="D17" s="7">
        <f>D61*(1/D23)</f>
        <v>840</v>
      </c>
      <c r="E17" s="7">
        <f>E61*(1/E23)</f>
        <v>2440</v>
      </c>
      <c r="F17" s="7">
        <f>F61*(1/F23)</f>
        <v>2640</v>
      </c>
      <c r="G17" s="7">
        <f>G61*(1/G23)</f>
        <v>2840</v>
      </c>
    </row>
    <row r="18" spans="1:7" x14ac:dyDescent="0.3">
      <c r="A18" s="7" t="s">
        <v>172</v>
      </c>
      <c r="B18" s="7">
        <v>0</v>
      </c>
      <c r="C18" s="7">
        <f>'Five-year Analysis'!E7+'Five-year Analysis'!E8+'Five-year Analysis'!E10+'Five-year Analysis'!E14</f>
        <v>31956</v>
      </c>
      <c r="D18" s="7">
        <f>'Five-year Analysis'!F7+'Five-year Analysis'!F8+'Five-year Analysis'!F10+'Five-year Analysis'!F14</f>
        <v>22756</v>
      </c>
      <c r="E18" s="7">
        <f>'Five-year Analysis'!G7+'Five-year Analysis'!G8+'Five-year Analysis'!G10+'Five-year Analysis'!G14</f>
        <v>36900</v>
      </c>
      <c r="F18" s="7">
        <f>'Five-year Analysis'!H7+'Five-year Analysis'!H8+'Five-year Analysis'!H10+'Five-year Analysis'!H14</f>
        <v>37900</v>
      </c>
      <c r="G18" s="7">
        <f>'Five-year Analysis'!I7+'Five-year Analysis'!I8+'Five-year Analysis'!I10+'Five-year Analysis'!I14</f>
        <v>37900</v>
      </c>
    </row>
    <row r="19" spans="1:7" x14ac:dyDescent="0.3">
      <c r="A19" s="7" t="s">
        <v>173</v>
      </c>
      <c r="B19">
        <v>30</v>
      </c>
      <c r="C19" s="7">
        <v>30</v>
      </c>
      <c r="D19" s="7">
        <v>30</v>
      </c>
      <c r="E19" s="7">
        <v>30</v>
      </c>
      <c r="F19" s="7">
        <v>30</v>
      </c>
      <c r="G19" s="7">
        <v>30</v>
      </c>
    </row>
    <row r="20" spans="1:7" x14ac:dyDescent="0.3">
      <c r="A20" s="7" t="s">
        <v>174</v>
      </c>
      <c r="B20">
        <v>25</v>
      </c>
      <c r="C20" s="7">
        <v>25</v>
      </c>
      <c r="D20" s="7">
        <v>25</v>
      </c>
      <c r="E20" s="7">
        <v>25</v>
      </c>
      <c r="F20" s="7">
        <v>25</v>
      </c>
      <c r="G20" s="7">
        <v>25</v>
      </c>
    </row>
    <row r="21" spans="1:7" x14ac:dyDescent="0.3">
      <c r="A21" s="7" t="s">
        <v>175</v>
      </c>
      <c r="B21">
        <v>25</v>
      </c>
      <c r="C21" s="7">
        <v>25</v>
      </c>
      <c r="D21" s="7">
        <v>25</v>
      </c>
      <c r="E21" s="7">
        <v>25</v>
      </c>
      <c r="F21" s="7">
        <v>25</v>
      </c>
      <c r="G21" s="7">
        <v>25</v>
      </c>
    </row>
    <row r="22" spans="1:7" x14ac:dyDescent="0.3">
      <c r="A22" s="7" t="s">
        <v>176</v>
      </c>
      <c r="C22" s="7"/>
      <c r="D22" s="7"/>
      <c r="E22" s="7"/>
      <c r="F22" s="7"/>
      <c r="G22" s="7"/>
    </row>
    <row r="23" spans="1:7" x14ac:dyDescent="0.3">
      <c r="A23" s="7" t="s">
        <v>177</v>
      </c>
      <c r="B23">
        <v>5</v>
      </c>
      <c r="C23" s="7">
        <v>5</v>
      </c>
      <c r="D23" s="7">
        <v>5</v>
      </c>
      <c r="E23" s="7">
        <v>5</v>
      </c>
      <c r="F23" s="7">
        <v>5</v>
      </c>
      <c r="G23" s="7">
        <v>5</v>
      </c>
    </row>
    <row r="24" spans="1:7" x14ac:dyDescent="0.3">
      <c r="A24" s="7" t="s">
        <v>178</v>
      </c>
      <c r="B24" s="4">
        <v>0.08</v>
      </c>
      <c r="C24" s="4">
        <v>0.08</v>
      </c>
      <c r="D24" s="4">
        <v>0.08</v>
      </c>
      <c r="E24" s="4">
        <v>0.08</v>
      </c>
      <c r="F24" s="4">
        <v>0.08</v>
      </c>
      <c r="G24" s="4">
        <v>0.08</v>
      </c>
    </row>
    <row r="25" spans="1:7" x14ac:dyDescent="0.3">
      <c r="A25" s="7" t="s">
        <v>179</v>
      </c>
      <c r="B25" s="4">
        <v>0.1</v>
      </c>
      <c r="C25" s="5">
        <v>0.1</v>
      </c>
      <c r="D25" s="5">
        <v>0.1</v>
      </c>
      <c r="E25" s="5">
        <v>0.1</v>
      </c>
      <c r="F25" s="5">
        <v>0.1</v>
      </c>
      <c r="G25" s="5">
        <v>0.1</v>
      </c>
    </row>
    <row r="26" spans="1:7" x14ac:dyDescent="0.3">
      <c r="A26" s="7" t="s">
        <v>180</v>
      </c>
      <c r="B26">
        <v>2</v>
      </c>
      <c r="C26" s="7">
        <v>4</v>
      </c>
      <c r="D26" s="7">
        <v>4</v>
      </c>
      <c r="E26" s="7">
        <v>5</v>
      </c>
      <c r="F26" s="7">
        <v>7</v>
      </c>
      <c r="G26" s="7">
        <v>9</v>
      </c>
    </row>
    <row r="27" spans="1:7" x14ac:dyDescent="0.3">
      <c r="A27" s="7"/>
      <c r="C27" s="7"/>
      <c r="D27" s="7"/>
      <c r="E27" s="7"/>
      <c r="F27" s="7"/>
      <c r="G27" s="7"/>
    </row>
    <row r="28" spans="1:7" x14ac:dyDescent="0.3">
      <c r="A28" s="27" t="s">
        <v>181</v>
      </c>
      <c r="B28" s="27"/>
      <c r="C28" s="27"/>
      <c r="D28" s="27"/>
      <c r="E28" s="27"/>
      <c r="F28" s="27"/>
    </row>
    <row r="29" spans="1:7" x14ac:dyDescent="0.3">
      <c r="A29" s="11"/>
      <c r="B29" s="1" t="s">
        <v>238</v>
      </c>
      <c r="C29" s="14" t="s">
        <v>162</v>
      </c>
      <c r="D29" s="14" t="s">
        <v>163</v>
      </c>
      <c r="E29" s="14" t="s">
        <v>164</v>
      </c>
      <c r="F29" s="14" t="s">
        <v>165</v>
      </c>
      <c r="G29" s="14" t="s">
        <v>166</v>
      </c>
    </row>
    <row r="30" spans="1:7" x14ac:dyDescent="0.3">
      <c r="A30" s="11"/>
      <c r="C30" s="11"/>
      <c r="D30" s="11"/>
      <c r="E30" s="11"/>
      <c r="F30" s="11"/>
      <c r="G30" s="11"/>
    </row>
    <row r="31" spans="1:7" x14ac:dyDescent="0.3">
      <c r="A31" s="15" t="s">
        <v>16</v>
      </c>
      <c r="B31" s="7">
        <v>400000</v>
      </c>
      <c r="C31" s="7">
        <f>C12*C13</f>
        <v>63248.5</v>
      </c>
      <c r="D31" s="7">
        <f>D12*D13</f>
        <v>336165.77750000003</v>
      </c>
      <c r="E31" s="7">
        <f>E12*E13</f>
        <v>893360.55370625004</v>
      </c>
      <c r="F31" s="7">
        <f>F12*F13</f>
        <v>1899284.5371794873</v>
      </c>
      <c r="G31" s="7">
        <f>G12*G13</f>
        <v>3432197.0871370509</v>
      </c>
    </row>
    <row r="32" spans="1:7" x14ac:dyDescent="0.3">
      <c r="A32" s="7" t="s">
        <v>182</v>
      </c>
      <c r="C32" s="7"/>
      <c r="D32" s="7"/>
      <c r="E32" s="7"/>
      <c r="F32" s="7"/>
      <c r="G32" s="7"/>
    </row>
    <row r="33" spans="1:7" x14ac:dyDescent="0.3">
      <c r="A33" s="15" t="s">
        <v>183</v>
      </c>
      <c r="B33">
        <f>B14*'Development Cost'!L26</f>
        <v>5250</v>
      </c>
      <c r="C33" s="7">
        <f>C12*C14</f>
        <v>14547.155000000001</v>
      </c>
      <c r="D33" s="7">
        <f>D12*D14</f>
        <v>77318.128825000007</v>
      </c>
      <c r="E33" s="7">
        <f>E12*E14</f>
        <v>178672.11074124998</v>
      </c>
      <c r="F33" s="7">
        <f>F12*F14</f>
        <v>379856.90743589745</v>
      </c>
      <c r="G33" s="7">
        <f>G12*G14</f>
        <v>686439.41742741026</v>
      </c>
    </row>
    <row r="34" spans="1:7" x14ac:dyDescent="0.3">
      <c r="A34" s="15" t="s">
        <v>184</v>
      </c>
      <c r="B34">
        <f>B15*'Development Cost'!L26</f>
        <v>10000</v>
      </c>
      <c r="C34" s="7">
        <f>+C15*C12</f>
        <v>16444.61</v>
      </c>
      <c r="D34" s="7">
        <f>+D15*D12</f>
        <v>67233.155500000008</v>
      </c>
      <c r="E34" s="7">
        <f>+E15*E12</f>
        <v>142937.688593</v>
      </c>
      <c r="F34" s="7">
        <f>+F15*F12</f>
        <v>303885.52594871796</v>
      </c>
      <c r="G34" s="7">
        <f>+G15*G12</f>
        <v>549151.53394192818</v>
      </c>
    </row>
    <row r="35" spans="1:7" x14ac:dyDescent="0.3">
      <c r="A35" s="15" t="s">
        <v>185</v>
      </c>
      <c r="B35" s="7">
        <f t="shared" ref="B35:G35" si="3">+B16*B12</f>
        <v>0</v>
      </c>
      <c r="C35" s="7">
        <f t="shared" si="3"/>
        <v>1454.7155</v>
      </c>
      <c r="D35" s="7">
        <f t="shared" si="3"/>
        <v>7731.8128824999994</v>
      </c>
      <c r="E35" s="7">
        <f t="shared" si="3"/>
        <v>20547.292735243747</v>
      </c>
      <c r="F35" s="7">
        <f t="shared" si="3"/>
        <v>43683.544355128201</v>
      </c>
      <c r="G35" s="7">
        <f t="shared" si="3"/>
        <v>78940.533004152167</v>
      </c>
    </row>
    <row r="36" spans="1:7" x14ac:dyDescent="0.3">
      <c r="A36" s="15" t="s">
        <v>186</v>
      </c>
      <c r="B36" s="7">
        <f t="shared" ref="B36:G36" si="4">B17+B18</f>
        <v>0</v>
      </c>
      <c r="C36" s="7">
        <f t="shared" si="4"/>
        <v>32596</v>
      </c>
      <c r="D36" s="7">
        <f t="shared" si="4"/>
        <v>23596</v>
      </c>
      <c r="E36" s="7">
        <f t="shared" si="4"/>
        <v>39340</v>
      </c>
      <c r="F36" s="7">
        <f t="shared" si="4"/>
        <v>40540</v>
      </c>
      <c r="G36" s="7">
        <f t="shared" si="4"/>
        <v>40740</v>
      </c>
    </row>
    <row r="37" spans="1:7" x14ac:dyDescent="0.3">
      <c r="A37" s="9" t="s">
        <v>187</v>
      </c>
      <c r="B37" s="16">
        <f>SUM(B33:B36)</f>
        <v>15250</v>
      </c>
      <c r="C37" s="16">
        <f t="shared" ref="C37:G37" si="5">SUM(C33:C36)</f>
        <v>65042.480499999998</v>
      </c>
      <c r="D37" s="16">
        <f t="shared" si="5"/>
        <v>175879.09720750002</v>
      </c>
      <c r="E37" s="16">
        <f t="shared" si="5"/>
        <v>381497.09206949372</v>
      </c>
      <c r="F37" s="16">
        <f t="shared" si="5"/>
        <v>767965.97773974366</v>
      </c>
      <c r="G37" s="16">
        <f t="shared" si="5"/>
        <v>1355271.4843734906</v>
      </c>
    </row>
    <row r="38" spans="1:7" x14ac:dyDescent="0.3">
      <c r="A38" s="17" t="s">
        <v>188</v>
      </c>
      <c r="B38" s="18">
        <f>B31-B37</f>
        <v>384750</v>
      </c>
      <c r="C38" s="18">
        <f>C31-C37</f>
        <v>-1793.9804999999978</v>
      </c>
      <c r="D38" s="18">
        <f t="shared" ref="D38:G38" si="6">D31-D37</f>
        <v>160286.68029250001</v>
      </c>
      <c r="E38" s="18">
        <f>E31-E37</f>
        <v>511863.46163675631</v>
      </c>
      <c r="F38" s="18">
        <f t="shared" si="6"/>
        <v>1131318.5594397436</v>
      </c>
      <c r="G38" s="18">
        <f t="shared" si="6"/>
        <v>2076925.6027635604</v>
      </c>
    </row>
    <row r="39" spans="1:7" x14ac:dyDescent="0.3">
      <c r="A39" s="7"/>
      <c r="C39" s="7"/>
      <c r="D39" s="7"/>
      <c r="E39" s="7"/>
      <c r="F39" s="7"/>
      <c r="G39" s="7"/>
    </row>
    <row r="40" spans="1:7" x14ac:dyDescent="0.3">
      <c r="A40" s="7" t="s">
        <v>189</v>
      </c>
      <c r="B40">
        <v>0</v>
      </c>
      <c r="C40" s="7">
        <f>'Five-year Analysis'!E11+'Five-year Analysis'!E12+'Five-year Analysis'!E20+'Five-year Analysis'!E21+'Five-year Analysis'!E23</f>
        <v>66000</v>
      </c>
      <c r="D40" s="7">
        <f>'Five-year Analysis'!F11+'Five-year Analysis'!F12+'Five-year Analysis'!F20+'Five-year Analysis'!F21+'Five-year Analysis'!F23</f>
        <v>158000</v>
      </c>
      <c r="E40" s="7">
        <f>'Five-year Analysis'!G11+'Five-year Analysis'!G12+'Five-year Analysis'!G20+'Five-year Analysis'!G21+'Five-year Analysis'!G23</f>
        <v>265000</v>
      </c>
      <c r="F40" s="7">
        <f>'Five-year Analysis'!H11+'Five-year Analysis'!H12+'Five-year Analysis'!H20+'Five-year Analysis'!H21+'Five-year Analysis'!H23</f>
        <v>255000</v>
      </c>
      <c r="G40" s="7">
        <f>'Five-year Analysis'!I11+'Five-year Analysis'!I12+'Five-year Analysis'!I20+'Five-year Analysis'!I21+'Five-year Analysis'!I23</f>
        <v>335000</v>
      </c>
    </row>
    <row r="41" spans="1:7" x14ac:dyDescent="0.3">
      <c r="A41" s="7" t="s">
        <v>190</v>
      </c>
      <c r="B41">
        <v>0</v>
      </c>
      <c r="C41" s="7">
        <f>'Five-year Analysis'!E13+'Five-year Analysis'!E18+'Five-year Analysis'!E19+'Five-year Analysis'!E22</f>
        <v>130000</v>
      </c>
      <c r="D41" s="7">
        <f>'Five-year Analysis'!F13+'Five-year Analysis'!F18+'Five-year Analysis'!F19+'Five-year Analysis'!F22</f>
        <v>166000</v>
      </c>
      <c r="E41" s="7">
        <f>'Five-year Analysis'!G13+'Five-year Analysis'!G18+'Five-year Analysis'!G19+'Five-year Analysis'!G22</f>
        <v>188000</v>
      </c>
      <c r="F41" s="7">
        <f>'Five-year Analysis'!H13+'Five-year Analysis'!H18+'Five-year Analysis'!H19+'Five-year Analysis'!H22</f>
        <v>216000</v>
      </c>
      <c r="G41" s="7">
        <f>'Five-year Analysis'!I13+'Five-year Analysis'!I18+'Five-year Analysis'!I19+'Five-year Analysis'!I22</f>
        <v>216000</v>
      </c>
    </row>
    <row r="42" spans="1:7" x14ac:dyDescent="0.3">
      <c r="A42" s="7"/>
      <c r="C42" s="7"/>
      <c r="D42" s="7"/>
      <c r="E42" s="7"/>
      <c r="F42" s="7"/>
      <c r="G42" s="7"/>
    </row>
    <row r="43" spans="1:7" x14ac:dyDescent="0.3">
      <c r="A43" s="9" t="s">
        <v>191</v>
      </c>
      <c r="B43" s="7">
        <f t="shared" ref="B43:G43" si="7">B38-B40-B41</f>
        <v>384750</v>
      </c>
      <c r="C43" s="7">
        <f t="shared" si="7"/>
        <v>-197793.98050000001</v>
      </c>
      <c r="D43" s="7">
        <f t="shared" si="7"/>
        <v>-163713.31970749999</v>
      </c>
      <c r="E43" s="7">
        <f t="shared" si="7"/>
        <v>58863.461636756314</v>
      </c>
      <c r="F43" s="7">
        <f t="shared" si="7"/>
        <v>660318.55943974364</v>
      </c>
      <c r="G43" s="7">
        <f t="shared" si="7"/>
        <v>1525925.6027635604</v>
      </c>
    </row>
    <row r="44" spans="1:7" x14ac:dyDescent="0.3">
      <c r="A44" s="7" t="s">
        <v>192</v>
      </c>
      <c r="C44" s="7">
        <v>4982</v>
      </c>
      <c r="D44" s="7">
        <v>1993</v>
      </c>
      <c r="E44" s="7">
        <v>0</v>
      </c>
      <c r="F44" s="7">
        <v>0</v>
      </c>
      <c r="G44" s="7">
        <v>0</v>
      </c>
    </row>
    <row r="45" spans="1:7" x14ac:dyDescent="0.3">
      <c r="A45" s="7"/>
      <c r="C45" s="7"/>
      <c r="D45" s="7"/>
      <c r="E45" s="7"/>
      <c r="F45" s="7"/>
      <c r="G45" s="7"/>
    </row>
    <row r="46" spans="1:7" x14ac:dyDescent="0.3">
      <c r="A46" s="9" t="s">
        <v>193</v>
      </c>
      <c r="B46" s="7">
        <f t="shared" ref="B46:G46" si="8">B43-B44</f>
        <v>384750</v>
      </c>
      <c r="C46" s="7">
        <f t="shared" si="8"/>
        <v>-202775.98050000001</v>
      </c>
      <c r="D46" s="7">
        <f t="shared" si="8"/>
        <v>-165706.31970749999</v>
      </c>
      <c r="E46" s="7">
        <f t="shared" si="8"/>
        <v>58863.461636756314</v>
      </c>
      <c r="F46" s="7">
        <f t="shared" si="8"/>
        <v>660318.55943974364</v>
      </c>
      <c r="G46" s="7">
        <f t="shared" si="8"/>
        <v>1525925.6027635604</v>
      </c>
    </row>
    <row r="47" spans="1:7" x14ac:dyDescent="0.3">
      <c r="A47" s="7"/>
      <c r="C47" s="7"/>
      <c r="D47" s="7"/>
      <c r="E47" s="7"/>
      <c r="F47" s="7"/>
      <c r="G47" s="7"/>
    </row>
    <row r="48" spans="1:7" x14ac:dyDescent="0.3">
      <c r="A48" s="15" t="s">
        <v>194</v>
      </c>
      <c r="B48" s="7">
        <f t="shared" ref="B48:G48" si="9">B46*B24</f>
        <v>30780</v>
      </c>
      <c r="C48" s="7">
        <f t="shared" si="9"/>
        <v>-16222.078440000001</v>
      </c>
      <c r="D48" s="7">
        <f t="shared" si="9"/>
        <v>-13256.5055766</v>
      </c>
      <c r="E48" s="7">
        <f t="shared" si="9"/>
        <v>4709.076930940505</v>
      </c>
      <c r="F48" s="7">
        <f t="shared" si="9"/>
        <v>52825.484755179496</v>
      </c>
      <c r="G48" s="7">
        <f t="shared" si="9"/>
        <v>122074.04822108483</v>
      </c>
    </row>
    <row r="49" spans="1:7" x14ac:dyDescent="0.3">
      <c r="A49" s="7"/>
      <c r="C49" s="7"/>
      <c r="D49" s="7"/>
      <c r="E49" s="7"/>
      <c r="F49" s="7"/>
      <c r="G49" s="7"/>
    </row>
    <row r="50" spans="1:7" x14ac:dyDescent="0.3">
      <c r="A50" s="17" t="s">
        <v>195</v>
      </c>
      <c r="B50" s="18">
        <f t="shared" ref="B50:G50" si="10">B46-B48</f>
        <v>353970</v>
      </c>
      <c r="C50" s="18">
        <f t="shared" si="10"/>
        <v>-186553.90205999999</v>
      </c>
      <c r="D50" s="18">
        <f t="shared" si="10"/>
        <v>-152449.81413089999</v>
      </c>
      <c r="E50" s="18">
        <f t="shared" si="10"/>
        <v>54154.384705815806</v>
      </c>
      <c r="F50" s="18">
        <f t="shared" si="10"/>
        <v>607493.07468456414</v>
      </c>
      <c r="G50" s="18">
        <f t="shared" si="10"/>
        <v>1403851.5545424756</v>
      </c>
    </row>
    <row r="51" spans="1:7" x14ac:dyDescent="0.3">
      <c r="A51" s="7"/>
      <c r="C51" s="7"/>
      <c r="D51" s="7"/>
      <c r="E51" s="7"/>
      <c r="F51" s="7"/>
      <c r="G51" s="7"/>
    </row>
    <row r="52" spans="1:7" x14ac:dyDescent="0.3">
      <c r="A52" s="27" t="s">
        <v>196</v>
      </c>
      <c r="B52" s="27"/>
      <c r="C52" s="27"/>
      <c r="D52" s="27"/>
      <c r="E52" s="27"/>
      <c r="F52" s="27"/>
    </row>
    <row r="53" spans="1:7" x14ac:dyDescent="0.3">
      <c r="A53" s="7"/>
      <c r="B53" s="1" t="s">
        <v>238</v>
      </c>
      <c r="C53" s="14" t="s">
        <v>162</v>
      </c>
      <c r="D53" s="14" t="s">
        <v>163</v>
      </c>
      <c r="E53" s="14" t="s">
        <v>164</v>
      </c>
      <c r="F53" s="14" t="s">
        <v>165</v>
      </c>
      <c r="G53" s="14" t="s">
        <v>166</v>
      </c>
    </row>
    <row r="54" spans="1:7" x14ac:dyDescent="0.3">
      <c r="A54" s="7"/>
      <c r="C54" s="7"/>
      <c r="D54" s="7"/>
      <c r="E54" s="7"/>
      <c r="F54" s="7"/>
      <c r="G54" s="7"/>
    </row>
    <row r="55" spans="1:7" x14ac:dyDescent="0.3">
      <c r="A55" s="9" t="s">
        <v>197</v>
      </c>
      <c r="B55" s="19">
        <f>B59-B58-B57-B56</f>
        <v>841807.08333333337</v>
      </c>
      <c r="C55" s="19">
        <f>C59-C58-C57-C56</f>
        <v>344787.82234333328</v>
      </c>
      <c r="D55" s="19">
        <f>D59-D58-D57-D56</f>
        <v>128574.99139598341</v>
      </c>
      <c r="E55" s="19">
        <f t="shared" ref="E55:G55" si="11">E59-E58-E57-E56</f>
        <v>41424.193999733398</v>
      </c>
      <c r="F55" s="19">
        <f t="shared" si="11"/>
        <v>386737.96011353546</v>
      </c>
      <c r="G55" s="19">
        <f t="shared" si="11"/>
        <v>1394821.1383006787</v>
      </c>
    </row>
    <row r="56" spans="1:7" x14ac:dyDescent="0.3">
      <c r="A56" s="10" t="s">
        <v>198</v>
      </c>
      <c r="B56" s="7">
        <f t="shared" ref="B56:G56" si="12">B31/6</f>
        <v>66666.666666666672</v>
      </c>
      <c r="C56" s="7">
        <f t="shared" si="12"/>
        <v>10541.416666666666</v>
      </c>
      <c r="D56" s="7">
        <f t="shared" si="12"/>
        <v>56027.629583333335</v>
      </c>
      <c r="E56" s="7">
        <f t="shared" si="12"/>
        <v>148893.42561770833</v>
      </c>
      <c r="F56" s="7">
        <f t="shared" si="12"/>
        <v>316547.42286324786</v>
      </c>
      <c r="G56" s="7">
        <f t="shared" si="12"/>
        <v>572032.84785617515</v>
      </c>
    </row>
    <row r="57" spans="1:7" x14ac:dyDescent="0.3">
      <c r="A57" s="10" t="s">
        <v>199</v>
      </c>
      <c r="B57" s="7">
        <v>0</v>
      </c>
      <c r="C57" s="7">
        <f>C37/3</f>
        <v>21680.826833333333</v>
      </c>
      <c r="D57" s="7">
        <f>D37/3</f>
        <v>58626.365735833337</v>
      </c>
      <c r="E57" s="7">
        <f>E37/3</f>
        <v>127165.69735649791</v>
      </c>
      <c r="F57" s="7">
        <f>F37/3</f>
        <v>255988.65924658123</v>
      </c>
      <c r="G57" s="7">
        <f>G37/3</f>
        <v>451757.16145783017</v>
      </c>
    </row>
    <row r="58" spans="1:7" x14ac:dyDescent="0.3">
      <c r="A58" s="7" t="s">
        <v>200</v>
      </c>
      <c r="B58">
        <v>0</v>
      </c>
      <c r="C58" s="20">
        <v>0</v>
      </c>
      <c r="D58" s="7">
        <v>55</v>
      </c>
      <c r="E58" s="7">
        <v>60</v>
      </c>
      <c r="F58" s="7">
        <v>65</v>
      </c>
      <c r="G58" s="7">
        <v>65</v>
      </c>
    </row>
    <row r="59" spans="1:7" x14ac:dyDescent="0.3">
      <c r="A59" s="17" t="s">
        <v>201</v>
      </c>
      <c r="B59" s="18">
        <f>B65-B63</f>
        <v>908473.75</v>
      </c>
      <c r="C59" s="18">
        <f t="shared" ref="C59" si="13">C65-C63</f>
        <v>377010.06584333332</v>
      </c>
      <c r="D59" s="18">
        <f>D65-D63</f>
        <v>243283.98671515007</v>
      </c>
      <c r="E59" s="18">
        <f>E65-E63</f>
        <v>317543.31697393965</v>
      </c>
      <c r="F59" s="18">
        <f>F65-F63</f>
        <v>959339.04222336458</v>
      </c>
      <c r="G59" s="18">
        <f>G65-G63</f>
        <v>2418676.147614684</v>
      </c>
    </row>
    <row r="60" spans="1:7" x14ac:dyDescent="0.3">
      <c r="A60" s="18"/>
      <c r="C60" s="18"/>
      <c r="D60" s="18"/>
      <c r="E60" s="18"/>
      <c r="F60" s="18"/>
      <c r="G60" s="18"/>
    </row>
    <row r="61" spans="1:7" x14ac:dyDescent="0.3">
      <c r="A61" s="7" t="s">
        <v>202</v>
      </c>
      <c r="B61">
        <v>0</v>
      </c>
      <c r="C61" s="20">
        <f>'Future Costs'!M5</f>
        <v>3200</v>
      </c>
      <c r="D61" s="7">
        <f>C61+'Five-year Analysis'!F14</f>
        <v>4200</v>
      </c>
      <c r="E61" s="7">
        <f>D61+'Five-year Analysis'!G14</f>
        <v>12200</v>
      </c>
      <c r="F61" s="7">
        <f>E61+'Five-year Analysis'!H14</f>
        <v>13200</v>
      </c>
      <c r="G61" s="7">
        <f>F61+'Five-year Analysis'!I14</f>
        <v>14200</v>
      </c>
    </row>
    <row r="62" spans="1:7" x14ac:dyDescent="0.3">
      <c r="A62" s="10" t="s">
        <v>203</v>
      </c>
      <c r="B62">
        <v>0</v>
      </c>
      <c r="C62" s="7">
        <f>C61*(1/C23)+B62</f>
        <v>640</v>
      </c>
      <c r="D62" s="7">
        <f>D61*(1/D23)+C62</f>
        <v>1480</v>
      </c>
      <c r="E62" s="7">
        <f>E61*(1/E23)+D62</f>
        <v>3920</v>
      </c>
      <c r="F62" s="7">
        <f>F61*(1/F23)+E62</f>
        <v>6560</v>
      </c>
      <c r="G62" s="7">
        <f>G61*(1/G23)+F62</f>
        <v>9400</v>
      </c>
    </row>
    <row r="63" spans="1:7" x14ac:dyDescent="0.3">
      <c r="A63" s="9" t="s">
        <v>204</v>
      </c>
      <c r="B63" s="7">
        <f t="shared" ref="B63:C63" si="14">B61-B62</f>
        <v>0</v>
      </c>
      <c r="C63" s="7">
        <f t="shared" si="14"/>
        <v>2560</v>
      </c>
      <c r="D63" s="7">
        <f>D61-D62</f>
        <v>2720</v>
      </c>
      <c r="E63" s="7">
        <f>E61-E62</f>
        <v>8280</v>
      </c>
      <c r="F63" s="7">
        <f>F61-F62</f>
        <v>6640</v>
      </c>
      <c r="G63" s="7">
        <f>G61-G62</f>
        <v>4800</v>
      </c>
    </row>
    <row r="64" spans="1:7" x14ac:dyDescent="0.3">
      <c r="A64" s="7"/>
      <c r="C64" s="7"/>
      <c r="D64" s="7"/>
      <c r="E64" s="7"/>
      <c r="F64" s="7"/>
      <c r="G64" s="7"/>
    </row>
    <row r="65" spans="1:7" x14ac:dyDescent="0.3">
      <c r="A65" s="21" t="s">
        <v>205</v>
      </c>
      <c r="B65" s="18">
        <f>B84</f>
        <v>908473.75</v>
      </c>
      <c r="C65" s="18">
        <f>C84</f>
        <v>379570.06584333332</v>
      </c>
      <c r="D65" s="18">
        <f t="shared" ref="D65:G65" si="15">D84</f>
        <v>246003.98671515007</v>
      </c>
      <c r="E65" s="18">
        <f t="shared" si="15"/>
        <v>325823.31697393965</v>
      </c>
      <c r="F65" s="18">
        <f t="shared" si="15"/>
        <v>965979.04222336458</v>
      </c>
      <c r="G65" s="18">
        <f t="shared" si="15"/>
        <v>2423476.147614684</v>
      </c>
    </row>
    <row r="66" spans="1:7" x14ac:dyDescent="0.3">
      <c r="A66" s="18"/>
      <c r="C66" s="18"/>
      <c r="D66" s="18"/>
      <c r="E66" s="18"/>
      <c r="F66" s="18"/>
      <c r="G66" s="18"/>
    </row>
    <row r="67" spans="1:7" x14ac:dyDescent="0.3">
      <c r="A67" s="18" t="s">
        <v>206</v>
      </c>
      <c r="C67" s="7"/>
      <c r="D67" s="7"/>
      <c r="E67" s="7"/>
      <c r="F67" s="7"/>
      <c r="G67" s="7"/>
    </row>
    <row r="68" spans="1:7" x14ac:dyDescent="0.3">
      <c r="A68" s="7" t="s">
        <v>207</v>
      </c>
      <c r="C68" s="7"/>
      <c r="D68" s="7"/>
      <c r="E68" s="7"/>
      <c r="F68" s="7"/>
      <c r="G68" s="7"/>
    </row>
    <row r="69" spans="1:7" x14ac:dyDescent="0.3">
      <c r="A69" s="10" t="s">
        <v>208</v>
      </c>
      <c r="B69">
        <v>0</v>
      </c>
      <c r="C69" s="7">
        <v>0</v>
      </c>
      <c r="D69" s="7">
        <f>[1]Amortization!I17</f>
        <v>0</v>
      </c>
      <c r="E69" s="7">
        <f>[1]Amortization!I18</f>
        <v>0</v>
      </c>
      <c r="F69" s="7">
        <f>[1]Amortization!I19</f>
        <v>0</v>
      </c>
      <c r="G69" s="7">
        <v>0</v>
      </c>
    </row>
    <row r="70" spans="1:7" x14ac:dyDescent="0.3">
      <c r="A70" s="10" t="s">
        <v>209</v>
      </c>
      <c r="B70" s="7">
        <f>B33*0.125</f>
        <v>656.25</v>
      </c>
      <c r="C70" s="7">
        <f t="shared" ref="C70" si="16">C33*0.125</f>
        <v>1818.3943750000001</v>
      </c>
      <c r="D70" s="7">
        <f>D33*0.125</f>
        <v>9664.7661031250009</v>
      </c>
      <c r="E70" s="7">
        <f>E33*0.125</f>
        <v>22334.013842656248</v>
      </c>
      <c r="F70" s="7">
        <f>F33*0.125</f>
        <v>47482.113429487181</v>
      </c>
      <c r="G70" s="7">
        <f>G33*0.125</f>
        <v>85804.927178426282</v>
      </c>
    </row>
    <row r="71" spans="1:7" x14ac:dyDescent="0.3">
      <c r="A71" s="10" t="s">
        <v>210</v>
      </c>
      <c r="B71" s="7">
        <f t="shared" ref="B71:C71" si="17">(B40+B41)/12</f>
        <v>0</v>
      </c>
      <c r="C71" s="7">
        <f t="shared" si="17"/>
        <v>16333.333333333334</v>
      </c>
      <c r="D71" s="7">
        <f>(D40+D41)/12</f>
        <v>27000</v>
      </c>
      <c r="E71" s="7">
        <f>(E40+E41)/12</f>
        <v>37750</v>
      </c>
      <c r="F71" s="7">
        <f>(F40+F41)/12</f>
        <v>39250</v>
      </c>
      <c r="G71" s="7">
        <f>(G40+G41)/12</f>
        <v>45916.666666666664</v>
      </c>
    </row>
    <row r="72" spans="1:7" x14ac:dyDescent="0.3">
      <c r="A72" s="10" t="s">
        <v>211</v>
      </c>
      <c r="B72" s="16">
        <f t="shared" ref="B72:C72" si="18">B48*0.125</f>
        <v>3847.5</v>
      </c>
      <c r="C72" s="16">
        <f t="shared" si="18"/>
        <v>-2027.7598050000001</v>
      </c>
      <c r="D72" s="16">
        <f>D48*0.125</f>
        <v>-1657.0631970750001</v>
      </c>
      <c r="E72" s="16">
        <f>E48*0.125</f>
        <v>588.63461636756313</v>
      </c>
      <c r="F72" s="16">
        <f>F48*0.125</f>
        <v>6603.1855943974369</v>
      </c>
      <c r="G72" s="16">
        <f>G48*0.125</f>
        <v>15259.256027635603</v>
      </c>
    </row>
    <row r="73" spans="1:7" x14ac:dyDescent="0.3">
      <c r="A73" s="17" t="s">
        <v>212</v>
      </c>
      <c r="B73" s="18">
        <f t="shared" ref="B73:G73" si="19">SUM(B68:B72)</f>
        <v>4503.75</v>
      </c>
      <c r="C73" s="18">
        <f t="shared" si="19"/>
        <v>16123.967903333336</v>
      </c>
      <c r="D73" s="18">
        <f t="shared" si="19"/>
        <v>35007.702906050006</v>
      </c>
      <c r="E73" s="18">
        <f t="shared" si="19"/>
        <v>60672.648459023811</v>
      </c>
      <c r="F73" s="18">
        <f t="shared" si="19"/>
        <v>93335.299023884625</v>
      </c>
      <c r="G73" s="18">
        <f t="shared" si="19"/>
        <v>146980.84987272855</v>
      </c>
    </row>
    <row r="74" spans="1:7" x14ac:dyDescent="0.3">
      <c r="A74" s="7"/>
      <c r="C74" s="7"/>
      <c r="D74" s="7"/>
      <c r="E74" s="7"/>
      <c r="F74" s="7"/>
      <c r="G74" s="7"/>
    </row>
    <row r="75" spans="1:7" x14ac:dyDescent="0.3">
      <c r="A75" s="7" t="s">
        <v>213</v>
      </c>
      <c r="B75">
        <v>0</v>
      </c>
      <c r="C75">
        <v>0</v>
      </c>
      <c r="D75">
        <v>0</v>
      </c>
      <c r="E75">
        <v>0</v>
      </c>
      <c r="F75">
        <v>0</v>
      </c>
      <c r="G75">
        <v>0</v>
      </c>
    </row>
    <row r="76" spans="1:7" x14ac:dyDescent="0.3">
      <c r="A76" s="18" t="s">
        <v>214</v>
      </c>
      <c r="C76" s="7"/>
      <c r="D76" s="7"/>
      <c r="E76" s="7"/>
      <c r="F76" s="7"/>
      <c r="G76" s="7"/>
    </row>
    <row r="77" spans="1:7" x14ac:dyDescent="0.3">
      <c r="A77" t="s">
        <v>215</v>
      </c>
      <c r="B77">
        <v>0</v>
      </c>
      <c r="C77">
        <v>0</v>
      </c>
      <c r="D77">
        <v>0</v>
      </c>
      <c r="E77">
        <v>0</v>
      </c>
      <c r="F77">
        <v>0</v>
      </c>
      <c r="G77">
        <v>0</v>
      </c>
    </row>
    <row r="78" spans="1:7" x14ac:dyDescent="0.3">
      <c r="C78" s="7"/>
      <c r="D78" s="7"/>
      <c r="E78" s="7"/>
      <c r="F78" s="7"/>
      <c r="G78" s="7"/>
    </row>
    <row r="79" spans="1:7" x14ac:dyDescent="0.3">
      <c r="A79" s="7" t="s">
        <v>216</v>
      </c>
      <c r="B79">
        <v>550000</v>
      </c>
      <c r="C79">
        <v>550000</v>
      </c>
      <c r="D79">
        <v>550000</v>
      </c>
      <c r="E79">
        <v>550000</v>
      </c>
      <c r="F79">
        <v>550000</v>
      </c>
      <c r="G79">
        <v>550000</v>
      </c>
    </row>
    <row r="80" spans="1:7" x14ac:dyDescent="0.3">
      <c r="A80" s="22" t="s">
        <v>217</v>
      </c>
      <c r="B80">
        <v>0</v>
      </c>
      <c r="C80" s="22">
        <v>0</v>
      </c>
      <c r="D80" s="22">
        <v>0</v>
      </c>
      <c r="E80" s="22">
        <v>0</v>
      </c>
      <c r="F80" s="22">
        <v>0</v>
      </c>
      <c r="G80" s="22">
        <v>0</v>
      </c>
    </row>
    <row r="81" spans="1:7" x14ac:dyDescent="0.3">
      <c r="A81" s="10" t="s">
        <v>218</v>
      </c>
      <c r="B81" s="7">
        <f>B50+B80</f>
        <v>353970</v>
      </c>
      <c r="C81" s="7">
        <f>C50+C80</f>
        <v>-186553.90205999999</v>
      </c>
      <c r="D81" s="7">
        <f>C81+D80+D50</f>
        <v>-339003.71619089996</v>
      </c>
      <c r="E81" s="7">
        <f>D81+E80+E50</f>
        <v>-284849.33148508414</v>
      </c>
      <c r="F81" s="7">
        <f>E81+F80+F50</f>
        <v>322643.74319948</v>
      </c>
      <c r="G81" s="7">
        <f>F81+G80+G50</f>
        <v>1726495.2977419556</v>
      </c>
    </row>
    <row r="82" spans="1:7" x14ac:dyDescent="0.3">
      <c r="A82" s="17" t="s">
        <v>219</v>
      </c>
      <c r="B82" s="18">
        <f t="shared" ref="B82:G82" si="20">SUM(B79:B81)</f>
        <v>903970</v>
      </c>
      <c r="C82" s="18">
        <f t="shared" si="20"/>
        <v>363446.09794000001</v>
      </c>
      <c r="D82" s="18">
        <f t="shared" si="20"/>
        <v>210996.28380910004</v>
      </c>
      <c r="E82" s="18">
        <f t="shared" si="20"/>
        <v>265150.66851491586</v>
      </c>
      <c r="F82" s="18">
        <f t="shared" si="20"/>
        <v>872643.74319948</v>
      </c>
      <c r="G82" s="18">
        <f t="shared" si="20"/>
        <v>2276495.2977419556</v>
      </c>
    </row>
    <row r="83" spans="1:7" x14ac:dyDescent="0.3">
      <c r="A83" s="7"/>
      <c r="C83" s="7"/>
      <c r="D83" s="7"/>
      <c r="E83" s="7"/>
      <c r="F83" s="7"/>
      <c r="G83" s="7"/>
    </row>
    <row r="84" spans="1:7" x14ac:dyDescent="0.3">
      <c r="A84" s="17" t="s">
        <v>220</v>
      </c>
      <c r="B84" s="18">
        <f t="shared" ref="B84:G84" si="21">SUM(B82)+B75+B73</f>
        <v>908473.75</v>
      </c>
      <c r="C84" s="18">
        <f>SUM(C82)+C75+C73</f>
        <v>379570.06584333332</v>
      </c>
      <c r="D84" s="18">
        <f t="shared" si="21"/>
        <v>246003.98671515007</v>
      </c>
      <c r="E84" s="18">
        <f t="shared" si="21"/>
        <v>325823.31697393965</v>
      </c>
      <c r="F84" s="18">
        <f t="shared" si="21"/>
        <v>965979.04222336458</v>
      </c>
      <c r="G84" s="18">
        <f t="shared" si="21"/>
        <v>2423476.147614684</v>
      </c>
    </row>
    <row r="85" spans="1:7" x14ac:dyDescent="0.3">
      <c r="A85" s="7"/>
      <c r="C85" s="7"/>
      <c r="D85" s="7"/>
      <c r="E85" s="7"/>
      <c r="F85" s="7"/>
      <c r="G85" s="7"/>
    </row>
    <row r="86" spans="1:7" x14ac:dyDescent="0.3">
      <c r="A86" s="27" t="s">
        <v>221</v>
      </c>
      <c r="B86" s="27"/>
      <c r="C86" s="27"/>
      <c r="D86" s="27"/>
      <c r="E86" s="27"/>
      <c r="F86" s="23"/>
    </row>
    <row r="87" spans="1:7" x14ac:dyDescent="0.3">
      <c r="A87" s="11"/>
      <c r="B87" s="1" t="s">
        <v>238</v>
      </c>
      <c r="C87" s="14" t="s">
        <v>162</v>
      </c>
      <c r="D87" s="14" t="s">
        <v>163</v>
      </c>
      <c r="E87" s="14" t="s">
        <v>164</v>
      </c>
      <c r="F87" s="14" t="s">
        <v>165</v>
      </c>
      <c r="G87" s="14" t="s">
        <v>166</v>
      </c>
    </row>
    <row r="88" spans="1:7" x14ac:dyDescent="0.3">
      <c r="A88" s="11"/>
      <c r="C88" s="11"/>
      <c r="D88" s="11"/>
      <c r="E88" s="11"/>
      <c r="F88" s="11"/>
      <c r="G88" s="11"/>
    </row>
    <row r="89" spans="1:7" x14ac:dyDescent="0.3">
      <c r="A89" s="10" t="s">
        <v>195</v>
      </c>
      <c r="B89" s="7">
        <f>B81-0</f>
        <v>353970</v>
      </c>
      <c r="C89" s="7">
        <f>C81-B81</f>
        <v>-540523.90205999999</v>
      </c>
      <c r="D89" s="7">
        <f>D81-C81</f>
        <v>-152449.81413089996</v>
      </c>
      <c r="E89" s="7">
        <f>E81-D81</f>
        <v>54154.384705815814</v>
      </c>
      <c r="F89" s="7">
        <f>F81-E81</f>
        <v>607493.07468456414</v>
      </c>
      <c r="G89" s="7">
        <f>G81-F81</f>
        <v>1403851.5545424756</v>
      </c>
    </row>
    <row r="90" spans="1:7" x14ac:dyDescent="0.3">
      <c r="A90" s="10" t="s">
        <v>171</v>
      </c>
      <c r="B90" s="16">
        <f>B62</f>
        <v>0</v>
      </c>
      <c r="C90" s="16">
        <f>C62-B62</f>
        <v>640</v>
      </c>
      <c r="D90" s="16">
        <f>D62-C62</f>
        <v>840</v>
      </c>
      <c r="E90" s="16">
        <f>E62-D62</f>
        <v>2440</v>
      </c>
      <c r="F90" s="16">
        <f>F62-E62</f>
        <v>2640</v>
      </c>
      <c r="G90" s="16">
        <f>G62-F62</f>
        <v>2840</v>
      </c>
    </row>
    <row r="91" spans="1:7" x14ac:dyDescent="0.3">
      <c r="A91" s="18"/>
      <c r="B91" s="18">
        <f t="shared" ref="B91:G91" si="22">SUM(B89:B90)</f>
        <v>353970</v>
      </c>
      <c r="C91" s="18">
        <f t="shared" si="22"/>
        <v>-539883.90205999999</v>
      </c>
      <c r="D91" s="18">
        <f t="shared" si="22"/>
        <v>-151609.81413089996</v>
      </c>
      <c r="E91" s="18">
        <f t="shared" si="22"/>
        <v>56594.384705815814</v>
      </c>
      <c r="F91" s="18">
        <f t="shared" si="22"/>
        <v>610133.07468456414</v>
      </c>
      <c r="G91" s="18">
        <f t="shared" si="22"/>
        <v>1406691.5545424756</v>
      </c>
    </row>
    <row r="92" spans="1:7" x14ac:dyDescent="0.3">
      <c r="A92" s="18" t="s">
        <v>222</v>
      </c>
      <c r="C92" s="7"/>
      <c r="D92" s="7"/>
      <c r="E92" s="7"/>
      <c r="F92" s="7"/>
      <c r="G92" s="7"/>
    </row>
    <row r="93" spans="1:7" x14ac:dyDescent="0.3">
      <c r="A93" s="10" t="s">
        <v>198</v>
      </c>
      <c r="B93" s="7">
        <f>-B56</f>
        <v>-66666.666666666672</v>
      </c>
      <c r="C93" s="7">
        <f t="shared" ref="C93:G95" si="23">-C56+B56</f>
        <v>56125.250000000007</v>
      </c>
      <c r="D93" s="7">
        <f t="shared" si="23"/>
        <v>-45486.212916666671</v>
      </c>
      <c r="E93" s="7">
        <f t="shared" si="23"/>
        <v>-92865.796034375002</v>
      </c>
      <c r="F93" s="7">
        <f t="shared" si="23"/>
        <v>-167653.99724553953</v>
      </c>
      <c r="G93" s="7">
        <f t="shared" si="23"/>
        <v>-255485.42499292729</v>
      </c>
    </row>
    <row r="94" spans="1:7" x14ac:dyDescent="0.3">
      <c r="A94" s="10" t="s">
        <v>199</v>
      </c>
      <c r="B94" s="7">
        <f>-B57</f>
        <v>0</v>
      </c>
      <c r="C94" s="7">
        <f t="shared" si="23"/>
        <v>-21680.826833333333</v>
      </c>
      <c r="D94" s="7">
        <f t="shared" si="23"/>
        <v>-36945.538902500004</v>
      </c>
      <c r="E94" s="7">
        <f t="shared" si="23"/>
        <v>-68539.331620664569</v>
      </c>
      <c r="F94" s="7">
        <f t="shared" si="23"/>
        <v>-128822.96189008332</v>
      </c>
      <c r="G94" s="7">
        <f t="shared" si="23"/>
        <v>-195768.50221124894</v>
      </c>
    </row>
    <row r="95" spans="1:7" x14ac:dyDescent="0.3">
      <c r="A95" s="10" t="s">
        <v>223</v>
      </c>
      <c r="B95" s="7">
        <f>-B58</f>
        <v>0</v>
      </c>
      <c r="C95" s="7">
        <f t="shared" si="23"/>
        <v>0</v>
      </c>
      <c r="D95" s="7">
        <f t="shared" si="23"/>
        <v>-55</v>
      </c>
      <c r="E95" s="7">
        <f t="shared" si="23"/>
        <v>-5</v>
      </c>
      <c r="F95" s="7">
        <f t="shared" si="23"/>
        <v>-5</v>
      </c>
      <c r="G95" s="7">
        <f t="shared" si="23"/>
        <v>0</v>
      </c>
    </row>
    <row r="96" spans="1:7" x14ac:dyDescent="0.3">
      <c r="A96" s="10" t="s">
        <v>224</v>
      </c>
      <c r="B96" s="7">
        <f>B70</f>
        <v>656.25</v>
      </c>
      <c r="C96" s="7">
        <f t="shared" ref="C96:G98" si="24">C70-B70</f>
        <v>1162.1443750000001</v>
      </c>
      <c r="D96" s="7">
        <f t="shared" si="24"/>
        <v>7846.371728125001</v>
      </c>
      <c r="E96" s="7">
        <f t="shared" si="24"/>
        <v>12669.247739531247</v>
      </c>
      <c r="F96" s="7">
        <f t="shared" si="24"/>
        <v>25148.099586830933</v>
      </c>
      <c r="G96" s="7">
        <f t="shared" si="24"/>
        <v>38322.813748939101</v>
      </c>
    </row>
    <row r="97" spans="1:7" x14ac:dyDescent="0.3">
      <c r="A97" s="10" t="s">
        <v>225</v>
      </c>
      <c r="B97" s="7">
        <f>B71</f>
        <v>0</v>
      </c>
      <c r="C97" s="7">
        <f t="shared" si="24"/>
        <v>16333.333333333334</v>
      </c>
      <c r="D97" s="7">
        <f t="shared" si="24"/>
        <v>10666.666666666666</v>
      </c>
      <c r="E97" s="7">
        <f t="shared" si="24"/>
        <v>10750</v>
      </c>
      <c r="F97" s="7">
        <f t="shared" si="24"/>
        <v>1500</v>
      </c>
      <c r="G97" s="7">
        <f t="shared" si="24"/>
        <v>6666.6666666666642</v>
      </c>
    </row>
    <row r="98" spans="1:7" x14ac:dyDescent="0.3">
      <c r="A98" s="10" t="s">
        <v>226</v>
      </c>
      <c r="B98" s="16">
        <f>B72</f>
        <v>3847.5</v>
      </c>
      <c r="C98" s="16">
        <f t="shared" si="24"/>
        <v>-5875.2598049999997</v>
      </c>
      <c r="D98" s="16">
        <f t="shared" si="24"/>
        <v>370.69660792500008</v>
      </c>
      <c r="E98" s="16">
        <f t="shared" si="24"/>
        <v>2245.6978134425631</v>
      </c>
      <c r="F98" s="16">
        <f t="shared" si="24"/>
        <v>6014.5509780298735</v>
      </c>
      <c r="G98" s="16">
        <f t="shared" si="24"/>
        <v>8656.0704332381665</v>
      </c>
    </row>
    <row r="99" spans="1:7" x14ac:dyDescent="0.3">
      <c r="A99" s="7"/>
      <c r="C99" s="7"/>
      <c r="D99" s="7"/>
      <c r="E99" s="7"/>
      <c r="F99" s="7"/>
      <c r="G99" s="7"/>
    </row>
    <row r="100" spans="1:7" x14ac:dyDescent="0.3">
      <c r="A100" s="17" t="s">
        <v>227</v>
      </c>
      <c r="B100" s="18">
        <f t="shared" ref="B100:G100" si="25">SUM(B91:B99)</f>
        <v>291807.08333333331</v>
      </c>
      <c r="C100" s="18">
        <f t="shared" si="25"/>
        <v>-493819.26099000004</v>
      </c>
      <c r="D100" s="18">
        <f t="shared" si="25"/>
        <v>-215212.83094734998</v>
      </c>
      <c r="E100" s="18">
        <f t="shared" si="25"/>
        <v>-79150.797396249953</v>
      </c>
      <c r="F100" s="18">
        <f t="shared" si="25"/>
        <v>346313.76611380203</v>
      </c>
      <c r="G100" s="18">
        <f t="shared" si="25"/>
        <v>1009083.1781871432</v>
      </c>
    </row>
    <row r="101" spans="1:7" x14ac:dyDescent="0.3">
      <c r="A101" s="7"/>
      <c r="C101" s="7"/>
      <c r="D101" s="7"/>
      <c r="E101" s="7"/>
      <c r="F101" s="7"/>
      <c r="G101" s="7"/>
    </row>
    <row r="102" spans="1:7" x14ac:dyDescent="0.3">
      <c r="A102" s="18" t="s">
        <v>228</v>
      </c>
      <c r="C102" s="7"/>
      <c r="D102" s="7"/>
      <c r="E102" s="7"/>
      <c r="F102" s="7"/>
      <c r="G102" s="7"/>
    </row>
    <row r="103" spans="1:7" x14ac:dyDescent="0.3">
      <c r="A103" s="10" t="s">
        <v>229</v>
      </c>
      <c r="B103" s="7">
        <f>-B61</f>
        <v>0</v>
      </c>
      <c r="C103" s="7">
        <f>-C61+B61</f>
        <v>-3200</v>
      </c>
      <c r="D103" s="7">
        <f>-D61+C61</f>
        <v>-1000</v>
      </c>
      <c r="E103" s="7">
        <f>-E61+D61</f>
        <v>-8000</v>
      </c>
      <c r="F103" s="7">
        <f>-F61+E61</f>
        <v>-1000</v>
      </c>
      <c r="G103" s="7">
        <f>-G61+F61</f>
        <v>-1000</v>
      </c>
    </row>
    <row r="104" spans="1:7" x14ac:dyDescent="0.3">
      <c r="A104" s="10" t="s">
        <v>230</v>
      </c>
      <c r="B104" s="7">
        <v>550000</v>
      </c>
      <c r="C104" s="7">
        <v>0</v>
      </c>
      <c r="D104" s="7">
        <v>0</v>
      </c>
      <c r="E104" s="7">
        <v>0</v>
      </c>
      <c r="F104" s="7">
        <f>F79+F80-E79-E80</f>
        <v>0</v>
      </c>
      <c r="G104" s="7">
        <f>G79+G80-F79-F80</f>
        <v>0</v>
      </c>
    </row>
    <row r="105" spans="1:7" x14ac:dyDescent="0.3">
      <c r="A105" s="10" t="s">
        <v>231</v>
      </c>
      <c r="B105" s="7">
        <f t="shared" ref="B105:G105" si="26">+B80</f>
        <v>0</v>
      </c>
      <c r="C105" s="7">
        <f>+C80</f>
        <v>0</v>
      </c>
      <c r="D105" s="7">
        <f t="shared" si="26"/>
        <v>0</v>
      </c>
      <c r="E105" s="7">
        <f t="shared" si="26"/>
        <v>0</v>
      </c>
      <c r="F105" s="7">
        <f t="shared" si="26"/>
        <v>0</v>
      </c>
      <c r="G105" s="7">
        <f t="shared" si="26"/>
        <v>0</v>
      </c>
    </row>
    <row r="106" spans="1:7" x14ac:dyDescent="0.3">
      <c r="A106" s="7" t="s">
        <v>232</v>
      </c>
      <c r="B106" s="16">
        <f>B75+B69</f>
        <v>0</v>
      </c>
      <c r="C106" s="16">
        <f>C75+C69-B75-B69</f>
        <v>0</v>
      </c>
      <c r="D106" s="16">
        <f>D75+D69-C75-C69</f>
        <v>0</v>
      </c>
      <c r="E106" s="16">
        <f>E75+E69-D75-D69</f>
        <v>0</v>
      </c>
      <c r="F106" s="16">
        <f>F75+F69-E75-E69</f>
        <v>0</v>
      </c>
      <c r="G106" s="16">
        <f>G75+G69-F75-F69</f>
        <v>0</v>
      </c>
    </row>
    <row r="107" spans="1:7" x14ac:dyDescent="0.3">
      <c r="A107" s="7"/>
      <c r="C107" s="7"/>
      <c r="D107" s="7"/>
      <c r="E107" s="7"/>
      <c r="F107" s="7"/>
      <c r="G107" s="7"/>
    </row>
    <row r="108" spans="1:7" x14ac:dyDescent="0.3">
      <c r="A108" s="17" t="s">
        <v>233</v>
      </c>
      <c r="B108" s="18">
        <f t="shared" ref="B108:G108" si="27">SUM(B103:B107)</f>
        <v>550000</v>
      </c>
      <c r="C108" s="18">
        <f t="shared" si="27"/>
        <v>-3200</v>
      </c>
      <c r="D108" s="18">
        <f t="shared" si="27"/>
        <v>-1000</v>
      </c>
      <c r="E108" s="18">
        <f t="shared" si="27"/>
        <v>-8000</v>
      </c>
      <c r="F108" s="18">
        <f t="shared" si="27"/>
        <v>-1000</v>
      </c>
      <c r="G108" s="18">
        <f t="shared" si="27"/>
        <v>-1000</v>
      </c>
    </row>
    <row r="109" spans="1:7" x14ac:dyDescent="0.3">
      <c r="A109" s="7"/>
      <c r="C109" s="7"/>
      <c r="D109" s="7"/>
      <c r="E109" s="7"/>
      <c r="F109" s="7"/>
      <c r="G109" s="7"/>
    </row>
    <row r="110" spans="1:7" x14ac:dyDescent="0.3">
      <c r="A110" s="17" t="s">
        <v>234</v>
      </c>
      <c r="B110" s="18">
        <f t="shared" ref="B110:G110" si="28">B100+B108</f>
        <v>841807.08333333326</v>
      </c>
      <c r="C110" s="18">
        <f>C100+C108</f>
        <v>-497019.26099000004</v>
      </c>
      <c r="D110" s="18">
        <f t="shared" si="28"/>
        <v>-216212.83094734998</v>
      </c>
      <c r="E110" s="18">
        <f t="shared" si="28"/>
        <v>-87150.797396249953</v>
      </c>
      <c r="F110" s="18">
        <f t="shared" si="28"/>
        <v>345313.76611380203</v>
      </c>
      <c r="G110" s="18">
        <f t="shared" si="28"/>
        <v>1008083.1781871432</v>
      </c>
    </row>
    <row r="111" spans="1:7" x14ac:dyDescent="0.3">
      <c r="A111" s="7"/>
      <c r="C111" s="7"/>
      <c r="D111" s="7"/>
      <c r="E111" s="7"/>
      <c r="F111" s="7"/>
      <c r="G111" s="7"/>
    </row>
    <row r="112" spans="1:7" x14ac:dyDescent="0.3">
      <c r="A112" s="10" t="s">
        <v>235</v>
      </c>
      <c r="B112">
        <v>0</v>
      </c>
      <c r="C112" s="7">
        <f>B55</f>
        <v>841807.08333333337</v>
      </c>
      <c r="D112" s="7">
        <f>C55</f>
        <v>344787.82234333328</v>
      </c>
      <c r="E112" s="7">
        <f>D55</f>
        <v>128574.99139598341</v>
      </c>
      <c r="F112" s="7">
        <f>E55</f>
        <v>41424.193999733398</v>
      </c>
      <c r="G112" s="7">
        <f>F55</f>
        <v>386737.96011353546</v>
      </c>
    </row>
    <row r="113" spans="1:7" x14ac:dyDescent="0.3">
      <c r="A113" s="17" t="s">
        <v>236</v>
      </c>
      <c r="B113" s="24">
        <f t="shared" ref="B113:G113" si="29">B110+B112</f>
        <v>841807.08333333326</v>
      </c>
      <c r="C113" s="24">
        <f>C110+C112</f>
        <v>344787.82234333333</v>
      </c>
      <c r="D113" s="24">
        <f>D110+D112</f>
        <v>128574.99139598329</v>
      </c>
      <c r="E113" s="24">
        <f t="shared" si="29"/>
        <v>41424.193999733456</v>
      </c>
      <c r="F113" s="24">
        <f t="shared" si="29"/>
        <v>386737.9601135354</v>
      </c>
      <c r="G113" s="24">
        <f t="shared" si="29"/>
        <v>1394821.1383006787</v>
      </c>
    </row>
    <row r="115" spans="1:7" x14ac:dyDescent="0.3">
      <c r="D115" s="7"/>
    </row>
  </sheetData>
  <mergeCells count="4">
    <mergeCell ref="A7:F7"/>
    <mergeCell ref="A28:F28"/>
    <mergeCell ref="A52:F52"/>
    <mergeCell ref="A86:E86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6</vt:i4>
      </vt:variant>
    </vt:vector>
  </HeadingPairs>
  <TitlesOfParts>
    <vt:vector size="6" baseType="lpstr">
      <vt:lpstr>Development Cost</vt:lpstr>
      <vt:lpstr>Future Costs</vt:lpstr>
      <vt:lpstr>Revenue Streams</vt:lpstr>
      <vt:lpstr>Strategy</vt:lpstr>
      <vt:lpstr>Five-year Analysis</vt:lpstr>
      <vt:lpstr>Financial Statements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Kyle Fieleke</dc:creator>
  <cp:lastModifiedBy>Kyle Fieleke</cp:lastModifiedBy>
  <dcterms:created xsi:type="dcterms:W3CDTF">2015-06-05T18:17:20Z</dcterms:created>
  <dcterms:modified xsi:type="dcterms:W3CDTF">2022-09-30T04:47:55Z</dcterms:modified>
</cp:coreProperties>
</file>